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560" yWindow="-20" windowWidth="25040" windowHeight="17460" tabRatio="500"/>
  </bookViews>
  <sheets>
    <sheet name="sorted by type" sheetId="4" r:id="rId1"/>
    <sheet name="alpha" sheetId="1" r:id="rId2"/>
    <sheet name="Sorted-taste" sheetId="2" r:id="rId3"/>
    <sheet name="favorites-big sheet" sheetId="3" r:id="rId4"/>
  </sheets>
  <definedNames>
    <definedName name="_xlnm.Print_Titles" localSheetId="1">alpha!$1:$1</definedName>
    <definedName name="_xlnm.Print_Titles" localSheetId="0">'sorted by type'!$1:$1</definedName>
    <definedName name="_xlnm.Print_Titles" localSheetId="2">'Sorted-taste'!$1:$1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" i="4" l="1"/>
  <c r="F40" i="4"/>
  <c r="D40" i="4"/>
  <c r="H11" i="4"/>
  <c r="F11" i="4"/>
  <c r="D11" i="4"/>
  <c r="H3" i="4"/>
  <c r="F3" i="4"/>
  <c r="D3" i="4"/>
  <c r="H10" i="4"/>
  <c r="F10" i="4"/>
  <c r="D10" i="4"/>
  <c r="H46" i="4"/>
  <c r="F46" i="4"/>
  <c r="D46" i="4"/>
  <c r="H9" i="4"/>
  <c r="F9" i="4"/>
  <c r="D9" i="4"/>
  <c r="H21" i="4"/>
  <c r="F21" i="4"/>
  <c r="D21" i="4"/>
  <c r="H39" i="4"/>
  <c r="F39" i="4"/>
  <c r="D39" i="4"/>
  <c r="H8" i="4"/>
  <c r="F8" i="4"/>
  <c r="D8" i="4"/>
  <c r="H45" i="4"/>
  <c r="F45" i="4"/>
  <c r="D45" i="4"/>
  <c r="H20" i="4"/>
  <c r="F20" i="4"/>
  <c r="D20" i="4"/>
  <c r="F27" i="4"/>
  <c r="D27" i="4"/>
  <c r="H38" i="4"/>
  <c r="F38" i="4"/>
  <c r="D38" i="4"/>
  <c r="H7" i="4"/>
  <c r="F7" i="4"/>
  <c r="D7" i="4"/>
  <c r="H37" i="4"/>
  <c r="F37" i="4"/>
  <c r="D37" i="4"/>
  <c r="H2" i="4"/>
  <c r="F2" i="4"/>
  <c r="D2" i="4"/>
  <c r="H26" i="4"/>
  <c r="F26" i="4"/>
  <c r="D26" i="4"/>
  <c r="H44" i="4"/>
  <c r="F44" i="4"/>
  <c r="D44" i="4"/>
  <c r="H6" i="4"/>
  <c r="F6" i="4"/>
  <c r="D6" i="4"/>
  <c r="H5" i="4"/>
  <c r="F5" i="4"/>
  <c r="D5" i="4"/>
  <c r="H19" i="4"/>
  <c r="F19" i="4"/>
  <c r="D19" i="4"/>
  <c r="H43" i="4"/>
  <c r="F43" i="4"/>
  <c r="D43" i="4"/>
  <c r="H36" i="4"/>
  <c r="F36" i="4"/>
  <c r="D36" i="4"/>
  <c r="H35" i="4"/>
  <c r="F35" i="4"/>
  <c r="D35" i="4"/>
  <c r="H18" i="4"/>
  <c r="F18" i="4"/>
  <c r="D18" i="4"/>
  <c r="H34" i="4"/>
  <c r="F34" i="4"/>
  <c r="D34" i="4"/>
  <c r="H33" i="4"/>
  <c r="F33" i="4"/>
  <c r="D33" i="4"/>
  <c r="H32" i="4"/>
  <c r="F32" i="4"/>
  <c r="D32" i="4"/>
  <c r="H17" i="4"/>
  <c r="F17" i="4"/>
  <c r="D17" i="4"/>
  <c r="H16" i="4"/>
  <c r="F16" i="4"/>
  <c r="D16" i="4"/>
  <c r="H42" i="4"/>
  <c r="F42" i="4"/>
  <c r="D42" i="4"/>
  <c r="H15" i="4"/>
  <c r="F15" i="4"/>
  <c r="D15" i="4"/>
  <c r="H31" i="4"/>
  <c r="F31" i="4"/>
  <c r="D31" i="4"/>
  <c r="H14" i="4"/>
  <c r="F14" i="4"/>
  <c r="D14" i="4"/>
  <c r="H25" i="4"/>
  <c r="F25" i="4"/>
  <c r="D25" i="4"/>
  <c r="H24" i="4"/>
  <c r="F24" i="4"/>
  <c r="D24" i="4"/>
  <c r="H30" i="4"/>
  <c r="F30" i="4"/>
  <c r="D30" i="4"/>
  <c r="H13" i="4"/>
  <c r="F13" i="4"/>
  <c r="D13" i="4"/>
  <c r="H4" i="4"/>
  <c r="F4" i="4"/>
  <c r="D4" i="4"/>
  <c r="H29" i="4"/>
  <c r="F29" i="4"/>
  <c r="D29" i="4"/>
  <c r="H28" i="4"/>
  <c r="F28" i="4"/>
  <c r="D28" i="4"/>
  <c r="H22" i="4"/>
  <c r="F22" i="4"/>
  <c r="D22" i="4"/>
  <c r="H12" i="4"/>
  <c r="F12" i="4"/>
  <c r="D12" i="4"/>
  <c r="H41" i="4"/>
  <c r="F41" i="4"/>
  <c r="D41" i="4"/>
  <c r="H18" i="2"/>
  <c r="F18" i="2"/>
  <c r="D18" i="2"/>
  <c r="H33" i="2"/>
  <c r="F33" i="2"/>
  <c r="D33" i="2"/>
  <c r="H28" i="2"/>
  <c r="F28" i="2"/>
  <c r="D28" i="2"/>
  <c r="H2" i="2"/>
  <c r="F2" i="2"/>
  <c r="D2" i="2"/>
  <c r="H44" i="2"/>
  <c r="F44" i="2"/>
  <c r="D44" i="2"/>
  <c r="H4" i="2"/>
  <c r="F4" i="2"/>
  <c r="D4" i="2"/>
  <c r="H25" i="2"/>
  <c r="F25" i="2"/>
  <c r="D25" i="2"/>
  <c r="H42" i="2"/>
  <c r="F42" i="2"/>
  <c r="D42" i="2"/>
  <c r="H10" i="2"/>
  <c r="F10" i="2"/>
  <c r="D10" i="2"/>
  <c r="H11" i="2"/>
  <c r="F11" i="2"/>
  <c r="D11" i="2"/>
  <c r="H12" i="2"/>
  <c r="F12" i="2"/>
  <c r="D12" i="2"/>
  <c r="F5" i="2"/>
  <c r="D5" i="2"/>
  <c r="H16" i="2"/>
  <c r="F16" i="2"/>
  <c r="D16" i="2"/>
  <c r="H46" i="2"/>
  <c r="F46" i="2"/>
  <c r="D46" i="2"/>
  <c r="H45" i="2"/>
  <c r="F45" i="2"/>
  <c r="D45" i="2"/>
  <c r="H6" i="2"/>
  <c r="F6" i="2"/>
  <c r="D6" i="2"/>
  <c r="H14" i="2"/>
  <c r="F14" i="2"/>
  <c r="D14" i="2"/>
  <c r="H41" i="2"/>
  <c r="F41" i="2"/>
  <c r="D41" i="2"/>
  <c r="H19" i="2"/>
  <c r="F19" i="2"/>
  <c r="D19" i="2"/>
  <c r="H9" i="2"/>
  <c r="F9" i="2"/>
  <c r="D9" i="2"/>
  <c r="H20" i="2"/>
  <c r="F20" i="2"/>
  <c r="D20" i="2"/>
  <c r="H40" i="2"/>
  <c r="F40" i="2"/>
  <c r="D40" i="2"/>
  <c r="H31" i="2"/>
  <c r="F31" i="2"/>
  <c r="D31" i="2"/>
  <c r="H29" i="2"/>
  <c r="F29" i="2"/>
  <c r="D29" i="2"/>
  <c r="H30" i="2"/>
  <c r="F30" i="2"/>
  <c r="D30" i="2"/>
  <c r="H27" i="2"/>
  <c r="F27" i="2"/>
  <c r="D27" i="2"/>
  <c r="H39" i="2"/>
  <c r="F39" i="2"/>
  <c r="D39" i="2"/>
  <c r="H35" i="2"/>
  <c r="F35" i="2"/>
  <c r="D35" i="2"/>
  <c r="H17" i="2"/>
  <c r="F17" i="2"/>
  <c r="D17" i="2"/>
  <c r="H26" i="2"/>
  <c r="F26" i="2"/>
  <c r="D26" i="2"/>
  <c r="H34" i="2"/>
  <c r="F34" i="2"/>
  <c r="D34" i="2"/>
  <c r="H24" i="2"/>
  <c r="F24" i="2"/>
  <c r="D24" i="2"/>
  <c r="H32" i="2"/>
  <c r="F32" i="2"/>
  <c r="D32" i="2"/>
  <c r="H7" i="2"/>
  <c r="F7" i="2"/>
  <c r="D7" i="2"/>
  <c r="H23" i="2"/>
  <c r="F23" i="2"/>
  <c r="D23" i="2"/>
  <c r="H13" i="2"/>
  <c r="F13" i="2"/>
  <c r="D13" i="2"/>
  <c r="H43" i="2"/>
  <c r="F43" i="2"/>
  <c r="D43" i="2"/>
  <c r="H22" i="2"/>
  <c r="F22" i="2"/>
  <c r="D22" i="2"/>
  <c r="H3" i="2"/>
  <c r="F3" i="2"/>
  <c r="D3" i="2"/>
  <c r="H37" i="2"/>
  <c r="F37" i="2"/>
  <c r="D37" i="2"/>
  <c r="H15" i="2"/>
  <c r="F15" i="2"/>
  <c r="D15" i="2"/>
  <c r="H21" i="2"/>
  <c r="F21" i="2"/>
  <c r="D21" i="2"/>
  <c r="H38" i="2"/>
  <c r="F38" i="2"/>
  <c r="D38" i="2"/>
  <c r="H36" i="2"/>
  <c r="F36" i="2"/>
  <c r="D36" i="2"/>
  <c r="H46" i="1"/>
  <c r="F46" i="1"/>
  <c r="D46" i="1"/>
  <c r="H45" i="1"/>
  <c r="F45" i="1"/>
  <c r="D45" i="1"/>
  <c r="H44" i="1"/>
  <c r="F44" i="1"/>
  <c r="D44" i="1"/>
  <c r="H43" i="1"/>
  <c r="F43" i="1"/>
  <c r="D43" i="1"/>
  <c r="H42" i="1"/>
  <c r="F42" i="1"/>
  <c r="D42" i="1"/>
  <c r="H41" i="1"/>
  <c r="F41" i="1"/>
  <c r="D41" i="1"/>
  <c r="H40" i="1"/>
  <c r="F40" i="1"/>
  <c r="D40" i="1"/>
  <c r="H38" i="1"/>
  <c r="F38" i="1"/>
  <c r="D38" i="1"/>
  <c r="H39" i="1"/>
  <c r="F39" i="1"/>
  <c r="D39" i="1"/>
  <c r="H37" i="1"/>
  <c r="F37" i="1"/>
  <c r="D37" i="1"/>
  <c r="H36" i="1"/>
  <c r="F36" i="1"/>
  <c r="D36" i="1"/>
  <c r="F35" i="1"/>
  <c r="D35" i="1"/>
  <c r="H34" i="1"/>
  <c r="F34" i="1"/>
  <c r="D34" i="1"/>
  <c r="H33" i="1"/>
  <c r="F33" i="1"/>
  <c r="D33" i="1"/>
  <c r="H32" i="1"/>
  <c r="F32" i="1"/>
  <c r="D32" i="1"/>
  <c r="H31" i="1"/>
  <c r="F31" i="1"/>
  <c r="D31" i="1"/>
  <c r="H30" i="1"/>
  <c r="F30" i="1"/>
  <c r="D30" i="1"/>
  <c r="H29" i="1"/>
  <c r="F29" i="1"/>
  <c r="D29" i="1"/>
  <c r="H28" i="1"/>
  <c r="F28" i="1"/>
  <c r="D28" i="1"/>
  <c r="H27" i="1"/>
  <c r="F27" i="1"/>
  <c r="D27" i="1"/>
  <c r="H26" i="1"/>
  <c r="F26" i="1"/>
  <c r="D26" i="1"/>
  <c r="H25" i="1"/>
  <c r="F25" i="1"/>
  <c r="D25" i="1"/>
  <c r="H24" i="1"/>
  <c r="F24" i="1"/>
  <c r="D24" i="1"/>
  <c r="H23" i="1"/>
  <c r="F23" i="1"/>
  <c r="D23" i="1"/>
  <c r="F8" i="1"/>
  <c r="H22" i="1"/>
  <c r="F22" i="1"/>
  <c r="D22" i="1"/>
  <c r="H21" i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9" i="1"/>
  <c r="F9" i="1"/>
  <c r="D9" i="1"/>
  <c r="H8" i="1"/>
  <c r="D8" i="1"/>
  <c r="H7" i="1"/>
  <c r="F7" i="1"/>
  <c r="D7" i="1"/>
  <c r="H6" i="1"/>
  <c r="F6" i="1"/>
  <c r="D6" i="1"/>
  <c r="H5" i="1"/>
  <c r="F5" i="1"/>
  <c r="D5" i="1"/>
  <c r="H4" i="1"/>
  <c r="F4" i="1"/>
  <c r="D4" i="1"/>
  <c r="H3" i="1"/>
  <c r="F3" i="1"/>
  <c r="D3" i="1"/>
  <c r="H2" i="1"/>
  <c r="F2" i="1"/>
  <c r="D2" i="1"/>
</calcChain>
</file>

<file path=xl/sharedStrings.xml><?xml version="1.0" encoding="utf-8"?>
<sst xmlns="http://schemas.openxmlformats.org/spreadsheetml/2006/main" count="551" uniqueCount="144">
  <si>
    <t>Name</t>
  </si>
  <si>
    <t>Description</t>
  </si>
  <si>
    <t>Amish Gold</t>
  </si>
  <si>
    <t>Golden 1.5" fruit with pointed tip,this cross combines the flavor of sungold with the texture of amish paste. 80 days.</t>
  </si>
  <si>
    <t>Azoychka</t>
  </si>
  <si>
    <t>Yellow. Small beefsteak, 8oz. Early ripener. Very flavorful with hint of citrus. Indeterminate. 70 days.</t>
  </si>
  <si>
    <t>Bella Rosa</t>
  </si>
  <si>
    <t>Heat tolerant and resistant to tomato spotted wilt virus, Yields of large, 10 to 12 oz. delicious tomatoes with bright red flesh. Determinate. 75 days.</t>
  </si>
  <si>
    <t>Black and Brown Boar</t>
  </si>
  <si>
    <t>Prominent brown and green stripes. 4-12oz and have a nice, acid flavor. Eye-catching and fun to grow. Excellent yields. Indeterminate. 78 days.</t>
  </si>
  <si>
    <t>Black Apple</t>
  </si>
  <si>
    <t>Russian, 4-6 oz meaty, juicy, flavorful apple shaped. Prolific. 75 days.</t>
  </si>
  <si>
    <t>Black Cherry</t>
  </si>
  <si>
    <t>Dark fruit, sweet and complex. An outstanding and sharp tasting cherry with deep mahogany coloring. Indeterminate. 65 days.</t>
  </si>
  <si>
    <t>Black from Tula</t>
  </si>
  <si>
    <t>Deep, reddish-brown Russian beefsteak. Smooth skin, fairly heat-tolerant, can be a good producer for an heirloom. Delicious slightly sweet fruit, 8-12oz. Indeterminate. 78 days.</t>
  </si>
  <si>
    <t>Captain Lucky White</t>
  </si>
  <si>
    <t>Potato leafed compact plant with large white sweet fruity tomatoes.Indeterminate. 80 days.</t>
  </si>
  <si>
    <t>Carmelita (Carmello F1)</t>
  </si>
  <si>
    <t>If you like tomatoes, you must taste this one. With pedigree in the most flavorful French heirloom varieties, 8oz raspberry red fruits have excellent flavor and texture. Indeterminate. 74 days.</t>
  </si>
  <si>
    <t>Celebrity</t>
  </si>
  <si>
    <t>Red. Hybrid, flavorful, large firm tomatoes, 8-12oz, strong vines, disease resistant. Good slicing tomato. Determinate. 70 days.</t>
  </si>
  <si>
    <t>Champion II</t>
  </si>
  <si>
    <t>Makes meaty slices with just the right sweetness. High yields of large fruit, bigger than Early Girl and earlier than Better Boy. Outstanding performer. Indeterminate. 70 days</t>
  </si>
  <si>
    <t>Cherokee Purple</t>
  </si>
  <si>
    <t>Dusky rose, purple fruit, large 10-12 oz, heavy producer. Very popular tomato from Tennessee. Sweet rich flavor. Indeterminate. 80 days.</t>
  </si>
  <si>
    <t>Copper River</t>
  </si>
  <si>
    <t>Copper colored tomato with yellow iridescent stripes with medium sized that are as flavorful as attractive.75-85 days. Determinate</t>
  </si>
  <si>
    <t>Corum Kirmizisi</t>
  </si>
  <si>
    <t>Turkish heirloom with pleated red fruit that are up to 10 oz with outstanding flavor and production. Midseason, semi-indeterminate.</t>
  </si>
  <si>
    <t>Cream Sausage</t>
  </si>
  <si>
    <t>This is a terrific, yet unusual tomato. The creamy-yellow fruit are elongated, with a nicely sweet flavor. Determinate. 73 days.</t>
  </si>
  <si>
    <t>Flamme</t>
  </si>
  <si>
    <t>Orange salad tomato. French heirloom. Very juicy with sweet flavor. 2 - 3 oz, very productive and tasty tomato. Indeterminate. 70 days.</t>
  </si>
  <si>
    <t>Gary O Sena</t>
  </si>
  <si>
    <t>Potato leaf. A heavy producer of 12-20 oz black fruit with rich black tomato flavor. A cross between Brandywine and Cherokee Purple. Indeterminate. 75 days.</t>
  </si>
  <si>
    <t>Girl Girl's Weird Thing</t>
  </si>
  <si>
    <t>Green zebra mutant with green stripes on red and 8-12 oz fruit. Midseason. Indeterminate</t>
  </si>
  <si>
    <t>Golden King of Siberia</t>
  </si>
  <si>
    <t>Lemon yellow 1lb heart shaped fruit with balanced sweet flavor on productive vines. Midseason. Indeterminate.</t>
  </si>
  <si>
    <t>Green Moldovan</t>
  </si>
  <si>
    <t>Fruits average 8-12oz with gold skin and lime flesh. Nice shaped tomatoes with smooth shoulders. Excellent flavor. High producing. Indeterminate. 80 days.</t>
  </si>
  <si>
    <t>Green Zebra</t>
  </si>
  <si>
    <t>Two tone green, small fruits (3 oz), sweet yet zingy fruit. Pretty in salads. Indeterminate. 75 days.</t>
  </si>
  <si>
    <t>Huando</t>
  </si>
  <si>
    <t>Meaty juicy tomato from Peru with red medium fruit. Midseason.Indeterminate.</t>
  </si>
  <si>
    <t>Italian Gold</t>
  </si>
  <si>
    <t>Deep gold. Heirloom. Very productive paste tomato (6 oz). Makes great sauce. Indeterminate. 80 days.</t>
  </si>
  <si>
    <t>Jeff Davis</t>
  </si>
  <si>
    <t>Large plant with large pink fruit with complex flavor and few seeds. Old southern heirloom.85 days. Indeterminate.</t>
  </si>
  <si>
    <t>Juliet</t>
  </si>
  <si>
    <t>Red, 1oz fruit, shaped like grape or elongated plum. Full tomato flavor, high yields. Indeterminate. 60 days.</t>
  </si>
  <si>
    <t>Large Red Cherry</t>
  </si>
  <si>
    <t>A very old type, tried and true. Extremely productive, up to two inches. Full flavor for canning and eating fresh. Indeterminate. 75-80 days.</t>
  </si>
  <si>
    <t>LaRoma III</t>
  </si>
  <si>
    <t>Great yielding roma variety with very consistent fruits. Disease resistant. The 5-8oz fruits are delicious and oblong. Determinate. 76 days.</t>
  </si>
  <si>
    <t>Lemon Boy</t>
  </si>
  <si>
    <t>Yellow, not golden. Vigorous plants produce large harvests of sweet but tangy tomatoes. 8 oz fruit, easy to grow. Indeterminate. 72 days.</t>
  </si>
  <si>
    <t>Lime Green Salad</t>
  </si>
  <si>
    <t>Small lime green tomatoes that ripen further to amber. 3-5oz. Somewhat spicy. Good for containers since plants stay small yet provide a big harvest. Determinate. 58 days.</t>
  </si>
  <si>
    <t>Lush Queen</t>
  </si>
  <si>
    <t>Dense, meaty. Very beautiful striped pink beefsteak. Good production, flavor. Indeterminate. 75 days.</t>
  </si>
  <si>
    <t>Pearly Pink</t>
  </si>
  <si>
    <t>Crisp, incredibly flavorful. Bright pink, perfect for snacking. Indeterminate. 75 days.</t>
  </si>
  <si>
    <t>Porter's Pride</t>
  </si>
  <si>
    <t>Red, heat tolerant tomato. Very productive, even in the Texas heat! Lots of round, 3 oz fruit with full tomato flavor, little cracking. Indeterminate. 70 days.</t>
  </si>
  <si>
    <t>Rhodia</t>
  </si>
  <si>
    <t>Large Italian beefsteak, Costoluto type, regular leaf. Indeterminate. 72 days.</t>
  </si>
  <si>
    <t>Rutgers</t>
  </si>
  <si>
    <t>Large crops of crack-free, bright red 6 to 8 oz. tomatoes with delicious old-time taste. A favorite for canning because of its abundance, juiciness and deep red color. Determinate. 75 days.</t>
  </si>
  <si>
    <t>Snow White</t>
  </si>
  <si>
    <t>Small, ivory-colored cherry tomato that has a delicious taste. One of the few white cherries. Indeterminate. 75 days.</t>
  </si>
  <si>
    <t>Spot Yellow</t>
  </si>
  <si>
    <t>Clusters of canary yellow, 3-5 oz. round fruit with rare and unusual spotting. Heavy producer, great taste, citrus notes. Indeterminate. 75 days.</t>
  </si>
  <si>
    <t>Stupice</t>
  </si>
  <si>
    <t>Compact plants with potato leaf foliage loaded with clusters of 2" fruits. Quite early, great flavor. Heavy yields all season. Produces well in northern climates. Indeterminate. 55 days.</t>
  </si>
  <si>
    <t>Sun Gold</t>
  </si>
  <si>
    <t>Golden-orange fruits in large clusters. Great for snacking a week before full maturity, when it becomes very sweet and delicious. Indeterminate. 65 days.</t>
  </si>
  <si>
    <t>Super San Marzano</t>
  </si>
  <si>
    <t>Hybrid version of San Marzano paste tomato. Large, pear-shaped fruit are an average 5 inches long. Fruit is high in pectin, giving sauce and paste natural thickness. Indeterminate. 70 days.</t>
  </si>
  <si>
    <t>Super Sweet 100</t>
  </si>
  <si>
    <t>Produces long strands of 100 or more super sweet fruit. 1",1oz cherries. Indeterminate. 75 days</t>
  </si>
  <si>
    <t>Tasmanian Chocolate</t>
  </si>
  <si>
    <t>Dwarf with large black full flavored fruit. 85 Days.</t>
  </si>
  <si>
    <t>Violet Jasper</t>
  </si>
  <si>
    <t>Violet-purple fruit with iridescent green streaks, 1-3 ounces, are smooth and have good tasting, dark purplish-red flesh, high yield. Indeterminate. 70 days.</t>
  </si>
  <si>
    <t>Vorlon</t>
  </si>
  <si>
    <t>From Bulgaria. A stunning purple-black tomato with rich dark flesh. Smoky flavor. Indeterminate. Mid season.</t>
  </si>
  <si>
    <t>Type</t>
  </si>
  <si>
    <t>San Marzano</t>
  </si>
  <si>
    <t>grown from seed from Italy</t>
  </si>
  <si>
    <t>Crimson Cushion</t>
  </si>
  <si>
    <t>Taste</t>
  </si>
  <si>
    <t>n</t>
  </si>
  <si>
    <t>Texture</t>
  </si>
  <si>
    <t>Appearance</t>
  </si>
  <si>
    <t>overripe (6)</t>
  </si>
  <si>
    <t>tangy, nice and tangy</t>
  </si>
  <si>
    <t>purdy!</t>
  </si>
  <si>
    <t>tasty, bland (2), overripe</t>
  </si>
  <si>
    <t>tangy, delicious, nobody ever got fired for planting black cherry</t>
  </si>
  <si>
    <t>variable in size</t>
  </si>
  <si>
    <t>(late to the tasting so not very many ratings)</t>
  </si>
  <si>
    <t>good mild flavor, mild</t>
  </si>
  <si>
    <t>blander than normal (2), watery flavor this year</t>
  </si>
  <si>
    <t>nice pleats</t>
  </si>
  <si>
    <t>very subtle flavor, unique appearance!</t>
  </si>
  <si>
    <t>Very old late-season non-uniform heirloom beefsteak-type variety. Fruit reaches 14-16oz each, and are slightly pleated. A great slicing tomato, has a good balance of acid and sweet. Regular leaf.</t>
  </si>
  <si>
    <t>a little acid, firm, classic heirloom tomato look, acidic (3)</t>
  </si>
  <si>
    <t>tasty!, good, a little soft, beautiful color, nice color, tangy (2)</t>
  </si>
  <si>
    <t>soft [texture], dark red</t>
  </si>
  <si>
    <t>varied appearande, watery</t>
  </si>
  <si>
    <t>subtle flavor, sweet, [a] little watery, meaty, wispy foliage, slightly tangy</t>
  </si>
  <si>
    <t>watery, very attractive, tangy</t>
  </si>
  <si>
    <t>kinda blah (2), bland, soft, nice</t>
  </si>
  <si>
    <t>tangy, tastes better cooked</t>
  </si>
  <si>
    <t>[a] little tart</t>
  </si>
  <si>
    <t>best overall producer for years I think, great for canning, prolific!</t>
  </si>
  <si>
    <t>bland</t>
  </si>
  <si>
    <t>a pretty girl!, alwaus good and good producer</t>
  </si>
  <si>
    <t>tart (2), tangy, good flavor, great!</t>
  </si>
  <si>
    <t>blah (2), bland</t>
  </si>
  <si>
    <t>mealy, pretty pink color</t>
  </si>
  <si>
    <t>late arrival so few votes, tart</t>
  </si>
  <si>
    <t>watery, sweet</t>
  </si>
  <si>
    <t>nice!, arrived late so few votes</t>
  </si>
  <si>
    <t>mild flavor</t>
  </si>
  <si>
    <t>best in show, one of the best cherries, sweet &amp; tasty</t>
  </si>
  <si>
    <t>mushy &amp; blah</t>
  </si>
  <si>
    <t>sweet &amp; flavor, good [texture], classic cherry, delicious-sweet, next to best in show</t>
  </si>
  <si>
    <t>complex [taste], good [texture], thin skin, nice!</t>
  </si>
  <si>
    <t>different [taste], soapy</t>
  </si>
  <si>
    <t>P</t>
  </si>
  <si>
    <t>H</t>
  </si>
  <si>
    <t>HY</t>
  </si>
  <si>
    <t>OP</t>
  </si>
  <si>
    <t>CH</t>
  </si>
  <si>
    <t>C</t>
  </si>
  <si>
    <t>Comments on Taste, Texture, &amp; Appearance (numbers indicate how many times a comment appeared)</t>
  </si>
  <si>
    <t>Favorites</t>
  </si>
  <si>
    <t># votes</t>
  </si>
  <si>
    <t>Sun Gold Cherry</t>
  </si>
  <si>
    <t>Golden King of Siberian</t>
  </si>
  <si>
    <t>Sweet 100 Cherry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</si>
</sst>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name val="Arial"/>
    </font>
    <font>
      <b/>
      <sz val="11"/>
      <color theme="1"/>
      <name val="Arial"/>
    </font>
    <font>
      <sz val="11"/>
      <color theme="1"/>
      <name val="Arial"/>
    </font>
    <font>
      <sz val="11"/>
      <color rgb="FF000000"/>
      <name val="Arial"/>
    </font>
    <font>
      <sz val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Layout" workbookViewId="0">
      <selection activeCell="E58" sqref="E58"/>
    </sheetView>
  </sheetViews>
  <sheetFormatPr baseColWidth="10" defaultRowHeight="13" x14ac:dyDescent="0"/>
  <cols>
    <col min="1" max="1" width="21.83203125" style="15" bestFit="1" customWidth="1"/>
    <col min="2" max="2" width="83" style="5" hidden="1" customWidth="1"/>
    <col min="3" max="3" width="5.33203125" style="18" bestFit="1" customWidth="1"/>
    <col min="4" max="4" width="8.1640625" style="6" customWidth="1"/>
    <col min="5" max="5" width="3.5" style="4" bestFit="1" customWidth="1"/>
    <col min="6" max="6" width="9.1640625" style="6" customWidth="1"/>
    <col min="7" max="7" width="3.5" style="7" bestFit="1" customWidth="1"/>
    <col min="8" max="8" width="11.83203125" style="6" bestFit="1" customWidth="1"/>
    <col min="9" max="9" width="3.5" style="8" bestFit="1" customWidth="1"/>
    <col min="10" max="10" width="48" style="9" customWidth="1"/>
    <col min="11" max="16384" width="10.83203125" style="4"/>
  </cols>
  <sheetData>
    <row r="1" spans="1:10" s="7" customFormat="1" ht="39">
      <c r="A1" s="19" t="s">
        <v>0</v>
      </c>
      <c r="B1" s="17" t="s">
        <v>1</v>
      </c>
      <c r="C1" s="16" t="s">
        <v>88</v>
      </c>
      <c r="D1" s="1" t="s">
        <v>92</v>
      </c>
      <c r="E1" s="2" t="s">
        <v>93</v>
      </c>
      <c r="F1" s="1" t="s">
        <v>94</v>
      </c>
      <c r="G1" s="2" t="s">
        <v>93</v>
      </c>
      <c r="H1" s="1" t="s">
        <v>95</v>
      </c>
      <c r="I1" s="2" t="s">
        <v>93</v>
      </c>
      <c r="J1" s="3" t="s">
        <v>138</v>
      </c>
    </row>
    <row r="2" spans="1:10" s="7" customFormat="1" ht="26" customHeight="1">
      <c r="A2" s="19" t="s">
        <v>58</v>
      </c>
      <c r="B2" s="20" t="s">
        <v>59</v>
      </c>
      <c r="C2" s="8" t="s">
        <v>137</v>
      </c>
      <c r="D2" s="6">
        <f>AVERAGE(4,4,5,4,4,3,4,4,5,5,4,5,4,5,4,5)</f>
        <v>4.3125</v>
      </c>
      <c r="E2" s="11">
        <v>16</v>
      </c>
      <c r="F2" s="6">
        <f>AVERAGE(4,4,5,4,3,3,3,4,4,5,4,5,5,5,5,5)</f>
        <v>4.25</v>
      </c>
      <c r="G2" s="7">
        <v>16</v>
      </c>
      <c r="H2" s="6">
        <f>AVERAGE(5,4,3,4,4,3,4,4,4,5,5,5,5,5,4,4)</f>
        <v>4.25</v>
      </c>
      <c r="I2" s="8">
        <v>16</v>
      </c>
      <c r="J2" s="9" t="s">
        <v>120</v>
      </c>
    </row>
    <row r="3" spans="1:10" s="7" customFormat="1" ht="26" customHeight="1">
      <c r="A3" s="19" t="s">
        <v>82</v>
      </c>
      <c r="B3" s="20" t="s">
        <v>83</v>
      </c>
      <c r="C3" s="8" t="s">
        <v>137</v>
      </c>
      <c r="D3" s="6">
        <f>AVERAGE(4,3,3,4,2,2,2,3,3,4,3,4,5)</f>
        <v>3.2307692307692308</v>
      </c>
      <c r="E3" s="11">
        <v>13</v>
      </c>
      <c r="F3" s="6">
        <f>AVERAGE(3,4,3,4,2,2,2,3,3,4,3,4,5)</f>
        <v>3.2307692307692308</v>
      </c>
      <c r="G3" s="7">
        <v>13</v>
      </c>
      <c r="H3" s="6">
        <f>AVERAGE(3,4,3,4,4,4,3,3,3,5,5,4,5)</f>
        <v>3.8461538461538463</v>
      </c>
      <c r="I3" s="8">
        <v>13</v>
      </c>
      <c r="J3" s="9" t="s">
        <v>130</v>
      </c>
    </row>
    <row r="4" spans="1:10" s="7" customFormat="1" ht="26" customHeight="1">
      <c r="A4" s="19" t="s">
        <v>12</v>
      </c>
      <c r="B4" s="20" t="s">
        <v>13</v>
      </c>
      <c r="C4" s="8" t="s">
        <v>136</v>
      </c>
      <c r="D4" s="6">
        <f>AVERAGE(4,5,4,4,5,4,5,5,5,5,5,5,5,4,5,5,5)</f>
        <v>4.7058823529411766</v>
      </c>
      <c r="E4" s="11">
        <v>17</v>
      </c>
      <c r="F4" s="6">
        <f>AVERAGE(5,5,4,4,5,5,5,5,5,5,5,5,5,4,4,4,5)</f>
        <v>4.7058823529411766</v>
      </c>
      <c r="G4" s="11">
        <v>17</v>
      </c>
      <c r="H4" s="6">
        <f>AVERAGE(5,5,4,4,4,4,5,5,5,5,5,5,5,4,4,4,5)</f>
        <v>4.5882352941176467</v>
      </c>
      <c r="I4" s="11">
        <v>17</v>
      </c>
      <c r="J4" s="12" t="s">
        <v>100</v>
      </c>
    </row>
    <row r="5" spans="1:10" s="7" customFormat="1" ht="26" customHeight="1">
      <c r="A5" s="19" t="s">
        <v>50</v>
      </c>
      <c r="B5" s="20" t="s">
        <v>51</v>
      </c>
      <c r="C5" s="8" t="s">
        <v>136</v>
      </c>
      <c r="D5" s="6">
        <f>AVERAGE(5,3,4,4,4,4,4,5,5,3,3,3,5,3,5)</f>
        <v>4</v>
      </c>
      <c r="E5" s="11">
        <v>15</v>
      </c>
      <c r="F5" s="6">
        <f>AVERAGE(4,5,4,4,4,4,4,4,5,5,4,4,5,4,4)</f>
        <v>4.2666666666666666</v>
      </c>
      <c r="G5" s="7">
        <v>15</v>
      </c>
      <c r="H5" s="6">
        <f>AVERAGE(5,5,4,5,5,5,5,5,5,5,5,4,4,4,5)</f>
        <v>4.7333333333333334</v>
      </c>
      <c r="I5" s="8">
        <v>15</v>
      </c>
      <c r="J5" s="9" t="s">
        <v>117</v>
      </c>
    </row>
    <row r="6" spans="1:10" s="7" customFormat="1" ht="26" customHeight="1">
      <c r="A6" s="19" t="s">
        <v>52</v>
      </c>
      <c r="B6" s="20" t="s">
        <v>53</v>
      </c>
      <c r="C6" s="8" t="s">
        <v>136</v>
      </c>
      <c r="D6" s="6">
        <f>AVERAGE(3,3,4,3,3,3,4,3,4,4,4,5)</f>
        <v>3.5833333333333335</v>
      </c>
      <c r="E6" s="11">
        <v>12</v>
      </c>
      <c r="F6" s="6">
        <f>AVERAGE(4,3,4,3,3,4,3,3,4,3,3,5)</f>
        <v>3.5</v>
      </c>
      <c r="G6" s="7">
        <v>12</v>
      </c>
      <c r="H6" s="6">
        <f>AVERAGE(3,4,3,3,4,4,3,3,4,3,4,5)</f>
        <v>3.5833333333333335</v>
      </c>
      <c r="I6" s="8">
        <v>12</v>
      </c>
      <c r="J6" s="9"/>
    </row>
    <row r="7" spans="1:10" s="7" customFormat="1" ht="26" customHeight="1">
      <c r="A7" s="19" t="s">
        <v>62</v>
      </c>
      <c r="B7" s="20" t="s">
        <v>63</v>
      </c>
      <c r="C7" s="8" t="s">
        <v>136</v>
      </c>
      <c r="D7" s="6">
        <f>AVERAGE(1,2,3,1,2,2,2,1,2,1,2)</f>
        <v>1.7272727272727273</v>
      </c>
      <c r="E7" s="11">
        <v>11</v>
      </c>
      <c r="F7" s="6">
        <f>AVERAGE(3,3,3,2,3,3,3,1,4,3,3)</f>
        <v>2.8181818181818183</v>
      </c>
      <c r="G7" s="7">
        <v>12</v>
      </c>
      <c r="H7" s="6">
        <f>AVERAGE(3,3,3,2,3,3,3,2,3,4,4)</f>
        <v>3</v>
      </c>
      <c r="I7" s="8">
        <v>11</v>
      </c>
      <c r="J7" s="9"/>
    </row>
    <row r="8" spans="1:10" s="7" customFormat="1" ht="26" customHeight="1">
      <c r="A8" s="19" t="s">
        <v>70</v>
      </c>
      <c r="B8" s="20" t="s">
        <v>71</v>
      </c>
      <c r="C8" s="8" t="s">
        <v>136</v>
      </c>
      <c r="D8" s="6">
        <f>AVERAGE(3.5, 4,4,4,4,4)</f>
        <v>3.9166666666666665</v>
      </c>
      <c r="E8" s="11">
        <v>6</v>
      </c>
      <c r="F8" s="6">
        <f>AVERAGE(5,5,4,5,5,5)</f>
        <v>4.833333333333333</v>
      </c>
      <c r="G8" s="7">
        <v>6</v>
      </c>
      <c r="H8" s="6">
        <f>AVERAGE(4,4,4,4,4,4)</f>
        <v>4</v>
      </c>
      <c r="I8" s="8">
        <v>6</v>
      </c>
      <c r="J8" s="9" t="s">
        <v>125</v>
      </c>
    </row>
    <row r="9" spans="1:10" s="7" customFormat="1" ht="26" customHeight="1">
      <c r="A9" s="19" t="s">
        <v>76</v>
      </c>
      <c r="B9" s="20" t="s">
        <v>77</v>
      </c>
      <c r="C9" s="8" t="s">
        <v>136</v>
      </c>
      <c r="D9" s="6">
        <f>AVERAGE(3,4,5,4,5,4,5,4,5,5,5,5,5)</f>
        <v>4.5384615384615383</v>
      </c>
      <c r="E9" s="11">
        <v>13</v>
      </c>
      <c r="F9" s="6">
        <f>AVERAGE(3,4,3,5,3,4,4,4,5,5,5,5)</f>
        <v>4.166666666666667</v>
      </c>
      <c r="G9" s="7">
        <v>12</v>
      </c>
      <c r="H9" s="6">
        <f>AVERAGE(4,4,3,4,4,4,4,5,5,5,5,5)</f>
        <v>4.333333333333333</v>
      </c>
      <c r="I9" s="8">
        <v>12</v>
      </c>
      <c r="J9" s="9" t="s">
        <v>127</v>
      </c>
    </row>
    <row r="10" spans="1:10" s="7" customFormat="1" ht="26" customHeight="1">
      <c r="A10" s="19" t="s">
        <v>80</v>
      </c>
      <c r="B10" s="20" t="s">
        <v>81</v>
      </c>
      <c r="C10" s="8" t="s">
        <v>136</v>
      </c>
      <c r="D10" s="6">
        <f>AVERAGE(5,4,3,5,5,5,5,5,5,4,5,5,5,5,5,5)</f>
        <v>4.75</v>
      </c>
      <c r="E10" s="11">
        <v>16</v>
      </c>
      <c r="F10" s="6">
        <f>AVERAGE(4,4,4,5,5,5,5,5,5,4,5,5,5,5,4,5)</f>
        <v>4.6875</v>
      </c>
      <c r="G10" s="7">
        <v>16</v>
      </c>
      <c r="H10" s="6">
        <f>AVERAGE(4,4,5,5,5,5,5,5,4,5,4,4,5,5,5)</f>
        <v>4.666666666666667</v>
      </c>
      <c r="I10" s="8">
        <v>15</v>
      </c>
      <c r="J10" s="9" t="s">
        <v>129</v>
      </c>
    </row>
    <row r="11" spans="1:10" s="7" customFormat="1" ht="26" customHeight="1">
      <c r="A11" s="19" t="s">
        <v>84</v>
      </c>
      <c r="B11" s="20" t="s">
        <v>85</v>
      </c>
      <c r="C11" s="8" t="s">
        <v>136</v>
      </c>
      <c r="D11" s="6">
        <f>AVERAGE(5,4,3,3,3,3,3,2,3,2,2,2,3)</f>
        <v>2.9230769230769229</v>
      </c>
      <c r="E11" s="11">
        <v>13</v>
      </c>
      <c r="F11" s="6">
        <f>AVERAGE(4,3,3,3,3,3,3,2,4,3,2,3,2)</f>
        <v>2.9230769230769229</v>
      </c>
      <c r="G11" s="7">
        <v>13</v>
      </c>
      <c r="H11" s="6">
        <f>AVERAGE(4,4,4,4,4,5,4,5,5,4,5,5,5)</f>
        <v>4.4615384615384617</v>
      </c>
      <c r="I11" s="8">
        <v>13</v>
      </c>
      <c r="J11" s="9"/>
    </row>
    <row r="12" spans="1:10" s="7" customFormat="1" ht="26" customHeight="1">
      <c r="A12" s="19" t="s">
        <v>4</v>
      </c>
      <c r="B12" s="20" t="s">
        <v>5</v>
      </c>
      <c r="C12" s="8" t="s">
        <v>133</v>
      </c>
      <c r="D12" s="6">
        <f>AVERAGE(3,4,3,3,3,3,2,3,2,2,2,2,2,3,4)</f>
        <v>2.7333333333333334</v>
      </c>
      <c r="E12" s="7">
        <v>15</v>
      </c>
      <c r="F12" s="6">
        <f>AVERAGE(4,4,3,3,3,3,3,4,2,3,3,2,2,4,4)</f>
        <v>3.1333333333333333</v>
      </c>
      <c r="G12" s="7">
        <v>15</v>
      </c>
      <c r="H12" s="6">
        <f>AVERAGE(5,5,4,3,4,4,4,4,4,4,4,4,3,5,5)</f>
        <v>4.1333333333333337</v>
      </c>
      <c r="I12" s="8">
        <v>15</v>
      </c>
      <c r="J12" s="9" t="s">
        <v>97</v>
      </c>
    </row>
    <row r="13" spans="1:10" s="7" customFormat="1" ht="26" customHeight="1">
      <c r="A13" s="19" t="s">
        <v>14</v>
      </c>
      <c r="B13" s="20" t="s">
        <v>15</v>
      </c>
      <c r="C13" s="8" t="s">
        <v>133</v>
      </c>
      <c r="D13" s="6">
        <f>AVERAGE(3,2,4,4,3,4,4,4,5,3,5,3,2)</f>
        <v>3.5384615384615383</v>
      </c>
      <c r="E13" s="11">
        <v>13</v>
      </c>
      <c r="F13" s="6">
        <f>AVERAGE(4,3,3,3,3,3,4,3,4,4,5,3)</f>
        <v>3.5</v>
      </c>
      <c r="G13" s="11">
        <v>12</v>
      </c>
      <c r="H13" s="6">
        <f>AVERAGE(5,4,5,4,4,5,5,4,4,5,4,5,4)</f>
        <v>4.4615384615384617</v>
      </c>
      <c r="I13" s="11">
        <v>13</v>
      </c>
      <c r="J13" s="9"/>
    </row>
    <row r="14" spans="1:10" s="13" customFormat="1" ht="26" customHeight="1">
      <c r="A14" s="19" t="s">
        <v>24</v>
      </c>
      <c r="B14" s="20" t="s">
        <v>25</v>
      </c>
      <c r="C14" s="8" t="s">
        <v>133</v>
      </c>
      <c r="D14" s="6">
        <f>AVERAGE(3,5,5,4,4,5,4,3,3,4,4,5,4)</f>
        <v>4.0769230769230766</v>
      </c>
      <c r="E14" s="11">
        <v>13</v>
      </c>
      <c r="F14" s="6">
        <f>AVERAGE(4,5,4,3,4,4,4,2,3,3,5,4)</f>
        <v>3.75</v>
      </c>
      <c r="G14" s="11">
        <v>12</v>
      </c>
      <c r="H14" s="6">
        <f>AVERAGE(5,5,5,4,4,4,5,4,4,5,5,4)</f>
        <v>4.5</v>
      </c>
      <c r="I14" s="11">
        <v>13</v>
      </c>
      <c r="J14" s="12" t="s">
        <v>104</v>
      </c>
    </row>
    <row r="15" spans="1:10" s="7" customFormat="1" ht="26" customHeight="1">
      <c r="A15" s="19" t="s">
        <v>28</v>
      </c>
      <c r="B15" s="20" t="s">
        <v>29</v>
      </c>
      <c r="C15" s="8" t="s">
        <v>133</v>
      </c>
      <c r="D15" s="6">
        <f>AVERAGE(4,3,3,3,3,3,3,3,4,3,4,4,3,4)</f>
        <v>3.3571428571428572</v>
      </c>
      <c r="E15" s="11">
        <v>14</v>
      </c>
      <c r="F15" s="6">
        <f>AVERAGE(4,3,3,3,3,3,4,3,3,3,4,3,4,4)</f>
        <v>3.3571428571428572</v>
      </c>
      <c r="G15" s="11">
        <v>13</v>
      </c>
      <c r="H15" s="6">
        <f>AVERAGE(4,3,4,4,5,4,4,4,5,5,5,5,5)</f>
        <v>4.384615384615385</v>
      </c>
      <c r="I15" s="11">
        <v>13</v>
      </c>
      <c r="J15" s="9" t="s">
        <v>105</v>
      </c>
    </row>
    <row r="16" spans="1:10" s="7" customFormat="1" ht="26" customHeight="1">
      <c r="A16" s="19" t="s">
        <v>91</v>
      </c>
      <c r="B16" s="20" t="s">
        <v>107</v>
      </c>
      <c r="C16" s="8" t="s">
        <v>133</v>
      </c>
      <c r="D16" s="6">
        <f>AVERAGE(3,3,3,4,3,3,4.5,3,3,3,4,3,3)</f>
        <v>3.2692307692307692</v>
      </c>
      <c r="E16" s="11">
        <v>13</v>
      </c>
      <c r="F16" s="6">
        <f>AVERAGE(4,4,4,5,4,4,5,2,3,3,4,4,4)</f>
        <v>3.8461538461538463</v>
      </c>
      <c r="G16" s="11">
        <v>13</v>
      </c>
      <c r="H16" s="6">
        <f>AVERAGE(4,4,4,4,4,4,4,4,4,4,4,5,4)</f>
        <v>4.0769230769230766</v>
      </c>
      <c r="I16" s="11">
        <v>13</v>
      </c>
      <c r="J16" s="9" t="s">
        <v>108</v>
      </c>
    </row>
    <row r="17" spans="1:10" s="7" customFormat="1" ht="26" customHeight="1">
      <c r="A17" s="19" t="s">
        <v>32</v>
      </c>
      <c r="B17" s="20" t="s">
        <v>33</v>
      </c>
      <c r="C17" s="8" t="s">
        <v>133</v>
      </c>
      <c r="D17" s="6">
        <f>AVERAGE(4,3,5,4,3,5,4,5,3,2,2,3,2,3,5,4,4,5)</f>
        <v>3.6666666666666665</v>
      </c>
      <c r="E17" s="11">
        <v>18</v>
      </c>
      <c r="F17" s="6">
        <f>AVERAGE(3,3,4,4,3,4,4,4,1,4,4,4,4,4,4,4,5)</f>
        <v>3.7058823529411766</v>
      </c>
      <c r="G17" s="11">
        <v>17</v>
      </c>
      <c r="H17" s="6">
        <f>AVERAGE(5,5,5,4,5,4,5,5,4,5,5,4,4,5,5,4,5)</f>
        <v>4.6470588235294121</v>
      </c>
      <c r="I17" s="11">
        <v>17</v>
      </c>
      <c r="J17" s="9" t="s">
        <v>109</v>
      </c>
    </row>
    <row r="18" spans="1:10" s="7" customFormat="1" ht="26" customHeight="1">
      <c r="A18" s="19" t="s">
        <v>40</v>
      </c>
      <c r="B18" s="20" t="s">
        <v>41</v>
      </c>
      <c r="C18" s="8" t="s">
        <v>133</v>
      </c>
      <c r="D18" s="10">
        <f>AVERAGE(2,2,3,2,4,2,4,4,4,3,4,2,4)</f>
        <v>3.0769230769230771</v>
      </c>
      <c r="E18" s="11">
        <v>13</v>
      </c>
      <c r="F18" s="6">
        <f>AVERAGE(4,3,3,3,3,2,4,4,4,3,4,3,3)</f>
        <v>3.3076923076923075</v>
      </c>
      <c r="G18" s="11">
        <v>13</v>
      </c>
      <c r="H18" s="6">
        <f>AVERAGE(3,2,4,3,4,4,4,5,5,5,5,4,4)</f>
        <v>4</v>
      </c>
      <c r="I18" s="11">
        <v>13</v>
      </c>
      <c r="J18" s="9"/>
    </row>
    <row r="19" spans="1:10" s="7" customFormat="1" ht="26" customHeight="1">
      <c r="A19" s="19" t="s">
        <v>48</v>
      </c>
      <c r="B19" s="20" t="s">
        <v>49</v>
      </c>
      <c r="C19" s="8" t="s">
        <v>133</v>
      </c>
      <c r="D19" s="6">
        <f>AVERAGE(5,3,5,5,3,4,3,3,4,4,4,3,3,3.5,3,2,3.5,4,3)</f>
        <v>3.5789473684210527</v>
      </c>
      <c r="E19" s="11">
        <v>19</v>
      </c>
      <c r="F19" s="6">
        <f>AVERAGE(4,4,4,4,3,3,3,4,4,4,4,4,3,4,3,3,3,4,2)</f>
        <v>3.5263157894736841</v>
      </c>
      <c r="G19" s="7">
        <v>19</v>
      </c>
      <c r="H19" s="6">
        <f>AVERAGE(5,5,5,4,4,4,4,4,4,5,5,5,5,5,5,5,3,4,5)</f>
        <v>4.5263157894736841</v>
      </c>
      <c r="I19" s="8">
        <v>19</v>
      </c>
      <c r="J19" s="9" t="s">
        <v>116</v>
      </c>
    </row>
    <row r="20" spans="1:10" s="7" customFormat="1" ht="26" customHeight="1">
      <c r="A20" s="19" t="s">
        <v>68</v>
      </c>
      <c r="B20" s="20" t="s">
        <v>69</v>
      </c>
      <c r="C20" s="8" t="s">
        <v>133</v>
      </c>
      <c r="D20" s="6">
        <f>AVERAGE(4,4,4,3,3,4,4,4,4,4,3,4)</f>
        <v>3.75</v>
      </c>
      <c r="E20" s="11">
        <v>12</v>
      </c>
      <c r="F20" s="6">
        <f>AVERAGE(3,3,2,3,3,3,3,4,4,4,3,4)</f>
        <v>3.25</v>
      </c>
      <c r="G20" s="7">
        <v>12</v>
      </c>
      <c r="H20" s="6">
        <f>AVERAGE(4,4,4,4,3,4,4,5,5,4,3,4)</f>
        <v>4</v>
      </c>
      <c r="I20" s="8">
        <v>12</v>
      </c>
      <c r="J20" s="9"/>
    </row>
    <row r="21" spans="1:10" s="7" customFormat="1" ht="26" customHeight="1">
      <c r="A21" s="19" t="s">
        <v>74</v>
      </c>
      <c r="B21" s="20" t="s">
        <v>75</v>
      </c>
      <c r="C21" s="8" t="s">
        <v>133</v>
      </c>
      <c r="D21" s="10">
        <f>AVERAGE(4,3,3,4,3,3,4,4,3,3,3,3)</f>
        <v>3.3333333333333335</v>
      </c>
      <c r="E21" s="11">
        <v>12</v>
      </c>
      <c r="F21" s="10">
        <f>AVERAGE(4,4,3,4,3,3,3,4,4,4,3,4)</f>
        <v>3.5833333333333335</v>
      </c>
      <c r="G21" s="11">
        <v>12</v>
      </c>
      <c r="H21" s="10">
        <f>AVERAGE(4,4,2,3,4,4,3,4,4,4,5,5,)</f>
        <v>3.5384615384615383</v>
      </c>
      <c r="I21" s="11">
        <v>12</v>
      </c>
      <c r="J21" s="12" t="s">
        <v>126</v>
      </c>
    </row>
    <row r="22" spans="1:10" s="7" customFormat="1" ht="26" customHeight="1">
      <c r="A22" s="19" t="s">
        <v>6</v>
      </c>
      <c r="B22" s="20" t="s">
        <v>7</v>
      </c>
      <c r="C22" s="8" t="s">
        <v>134</v>
      </c>
      <c r="D22" s="10">
        <f>AVERAGE(3,3,3,4,4,4,4,3,3,3,3,3,5,5)</f>
        <v>3.5714285714285716</v>
      </c>
      <c r="E22" s="11">
        <v>14</v>
      </c>
      <c r="F22" s="10">
        <f>AVERAGE(3,4,3,4,4,4,4,3,4,3,3,3,4,4)</f>
        <v>3.5714285714285716</v>
      </c>
      <c r="G22" s="11">
        <v>14</v>
      </c>
      <c r="H22" s="10">
        <f>AVERAGE(5,4,3,4,4,3,4,4,4,5,4,3,5,5)</f>
        <v>4.0714285714285712</v>
      </c>
      <c r="I22" s="11">
        <v>14</v>
      </c>
      <c r="J22" s="12"/>
    </row>
    <row r="23" spans="1:10" s="7" customFormat="1" ht="26" customHeight="1">
      <c r="A23" s="19" t="s">
        <v>18</v>
      </c>
      <c r="B23" s="20" t="s">
        <v>19</v>
      </c>
      <c r="C23" s="8" t="s">
        <v>134</v>
      </c>
      <c r="D23" s="10">
        <v>4</v>
      </c>
      <c r="E23" s="11">
        <v>2</v>
      </c>
      <c r="F23" s="10">
        <v>4.5</v>
      </c>
      <c r="G23" s="11">
        <v>2</v>
      </c>
      <c r="H23" s="10">
        <v>4.5</v>
      </c>
      <c r="I23" s="11">
        <v>2</v>
      </c>
      <c r="J23" s="12" t="s">
        <v>102</v>
      </c>
    </row>
    <row r="24" spans="1:10" s="7" customFormat="1" ht="26" customHeight="1">
      <c r="A24" s="19" t="s">
        <v>20</v>
      </c>
      <c r="B24" s="20" t="s">
        <v>21</v>
      </c>
      <c r="C24" s="8" t="s">
        <v>134</v>
      </c>
      <c r="D24" s="10">
        <f>AVERAGE(4,3,5,4,4,3,3,4,4,4,4,4,3,3,4)</f>
        <v>3.7333333333333334</v>
      </c>
      <c r="E24" s="11">
        <v>15</v>
      </c>
      <c r="F24" s="10">
        <f>AVERAGE(4,4,4,4,4,4,4,4,4,4,4,4,3,4,4)</f>
        <v>3.9333333333333331</v>
      </c>
      <c r="G24" s="11">
        <v>15</v>
      </c>
      <c r="H24" s="10">
        <f>AVERAGE(5,5,4,4,4,4,4,4,4,3,3,5,3,4,4)</f>
        <v>4</v>
      </c>
      <c r="I24" s="11">
        <v>15</v>
      </c>
      <c r="J24" s="12" t="s">
        <v>103</v>
      </c>
    </row>
    <row r="25" spans="1:10" s="7" customFormat="1" ht="26" customHeight="1">
      <c r="A25" s="19" t="s">
        <v>22</v>
      </c>
      <c r="B25" s="20" t="s">
        <v>23</v>
      </c>
      <c r="C25" s="8" t="s">
        <v>134</v>
      </c>
      <c r="D25" s="10">
        <f>AVERAGE(3,4,3,4,4,3,3,4,3,4,4,3,3)</f>
        <v>3.4615384615384617</v>
      </c>
      <c r="E25" s="11">
        <v>13</v>
      </c>
      <c r="F25" s="10">
        <f>AVERAGE(4,3,3,3,3,3,4,4,5,4,3,4)</f>
        <v>3.5833333333333335</v>
      </c>
      <c r="G25" s="11">
        <v>12</v>
      </c>
      <c r="H25" s="10">
        <f>AVERAGE(4,4,3,4,4,4,4,4,4,4,5,3,5)</f>
        <v>4</v>
      </c>
      <c r="I25" s="11">
        <v>13</v>
      </c>
      <c r="J25" s="12"/>
    </row>
    <row r="26" spans="1:10" s="7" customFormat="1" ht="26" customHeight="1">
      <c r="A26" s="19" t="s">
        <v>56</v>
      </c>
      <c r="B26" s="20" t="s">
        <v>57</v>
      </c>
      <c r="C26" s="8" t="s">
        <v>134</v>
      </c>
      <c r="D26" s="10">
        <f>AVERAGE(4,3,3,3,4,4,3,4,4,4,4,4,4,5,3,4,4,3)</f>
        <v>3.7222222222222223</v>
      </c>
      <c r="E26" s="11">
        <v>18</v>
      </c>
      <c r="F26" s="10">
        <f>AVERAGE(4,4,4,3,3,4,3,4,3,3,4,4,4,5,4,4,5,2)</f>
        <v>3.7222222222222223</v>
      </c>
      <c r="G26" s="11">
        <v>18</v>
      </c>
      <c r="H26" s="10">
        <f>AVERAGE(5,4,4,4,5,4,4,4,4,5,5,4,4,5,4,4,5,2)</f>
        <v>4.2222222222222223</v>
      </c>
      <c r="I26" s="11">
        <v>18</v>
      </c>
      <c r="J26" s="12" t="s">
        <v>119</v>
      </c>
    </row>
    <row r="27" spans="1:10" s="7" customFormat="1" ht="26" customHeight="1">
      <c r="A27" s="19" t="s">
        <v>66</v>
      </c>
      <c r="B27" s="20" t="s">
        <v>67</v>
      </c>
      <c r="C27" s="8" t="s">
        <v>134</v>
      </c>
      <c r="D27" s="10">
        <f>AVERAGE(5,4,4,5)</f>
        <v>4.5</v>
      </c>
      <c r="E27" s="11">
        <v>4</v>
      </c>
      <c r="F27" s="10">
        <f>AVERAGE(5,5,4,5)</f>
        <v>4.75</v>
      </c>
      <c r="G27" s="11">
        <v>4</v>
      </c>
      <c r="H27" s="10">
        <v>5</v>
      </c>
      <c r="I27" s="11">
        <v>4</v>
      </c>
      <c r="J27" s="12" t="s">
        <v>123</v>
      </c>
    </row>
    <row r="28" spans="1:10" s="7" customFormat="1" ht="26" customHeight="1">
      <c r="A28" s="19" t="s">
        <v>8</v>
      </c>
      <c r="B28" s="20" t="s">
        <v>9</v>
      </c>
      <c r="C28" s="8" t="s">
        <v>135</v>
      </c>
      <c r="D28" s="10">
        <f>AVERAGE(3,3,3,2,4,4,4,5,3,5,4,4,5,3,3,4)</f>
        <v>3.6875</v>
      </c>
      <c r="E28" s="11">
        <v>16</v>
      </c>
      <c r="F28" s="10">
        <f>AVERAGE(4,4,4,3,3,4,4,5,3,5,5,5,4,4,4,4)</f>
        <v>4.0625</v>
      </c>
      <c r="G28" s="11">
        <v>16</v>
      </c>
      <c r="H28" s="10">
        <f>AVERAGE(5,5,5,4,4,4,5,5,5,5,5,5,5,4,5,3)</f>
        <v>4.625</v>
      </c>
      <c r="I28" s="11">
        <v>16</v>
      </c>
      <c r="J28" s="12" t="s">
        <v>98</v>
      </c>
    </row>
    <row r="29" spans="1:10" s="7" customFormat="1" ht="26" customHeight="1">
      <c r="A29" s="19" t="s">
        <v>10</v>
      </c>
      <c r="B29" s="20" t="s">
        <v>11</v>
      </c>
      <c r="C29" s="8" t="s">
        <v>135</v>
      </c>
      <c r="D29" s="10">
        <f>AVERAGE(5,3,2,2,4,2,2,2,3,3,2,3)</f>
        <v>2.75</v>
      </c>
      <c r="E29" s="11">
        <v>12</v>
      </c>
      <c r="F29" s="10">
        <f>AVERAGE(4,2,2,2,3,2,2,2,3,3,2,2,)</f>
        <v>2.2307692307692308</v>
      </c>
      <c r="G29" s="11">
        <v>12</v>
      </c>
      <c r="H29" s="10">
        <f>AVERAGE(5,5,4,4,4,3,4,4,5,5,5,5)</f>
        <v>4.416666666666667</v>
      </c>
      <c r="I29" s="11">
        <v>12</v>
      </c>
      <c r="J29" s="12" t="s">
        <v>99</v>
      </c>
    </row>
    <row r="30" spans="1:10" s="7" customFormat="1" ht="26" customHeight="1">
      <c r="A30" s="19" t="s">
        <v>16</v>
      </c>
      <c r="B30" s="20" t="s">
        <v>17</v>
      </c>
      <c r="C30" s="8" t="s">
        <v>135</v>
      </c>
      <c r="D30" s="10">
        <f>AVERAGE(3,2,2,3,2,2,2,1,2,2)</f>
        <v>2.1</v>
      </c>
      <c r="E30" s="11">
        <v>10</v>
      </c>
      <c r="F30" s="10">
        <f>AVERAGE(4,3,3,3,2,2,2,3,2,2)</f>
        <v>2.6</v>
      </c>
      <c r="G30" s="11">
        <v>10</v>
      </c>
      <c r="H30" s="10">
        <f>AVERAGE(5,4,4,3,3,3,4,4,5,5,4)</f>
        <v>4</v>
      </c>
      <c r="I30" s="11">
        <v>10</v>
      </c>
      <c r="J30" s="12" t="s">
        <v>101</v>
      </c>
    </row>
    <row r="31" spans="1:10" s="7" customFormat="1" ht="26" customHeight="1">
      <c r="A31" s="3" t="s">
        <v>26</v>
      </c>
      <c r="B31" s="9" t="s">
        <v>27</v>
      </c>
      <c r="C31" s="8" t="s">
        <v>135</v>
      </c>
      <c r="D31" s="10">
        <f>AVERAGE(3.5,3,3,3,3,4,3,2,3,3,2,4,3)</f>
        <v>3.0384615384615383</v>
      </c>
      <c r="E31" s="11">
        <v>13</v>
      </c>
      <c r="F31" s="10">
        <f>AVERAGE(5,4,3,3,3,4,3,2,3,3,3,3)</f>
        <v>3.25</v>
      </c>
      <c r="G31" s="11">
        <v>12</v>
      </c>
      <c r="H31" s="10">
        <f>AVERAGE(5,5,5,4,3,5,5,4,3,5,5,5)</f>
        <v>4.5</v>
      </c>
      <c r="I31" s="14">
        <v>12</v>
      </c>
      <c r="J31" s="12"/>
    </row>
    <row r="32" spans="1:10" s="7" customFormat="1" ht="26" customHeight="1">
      <c r="A32" s="19" t="s">
        <v>34</v>
      </c>
      <c r="B32" s="20" t="s">
        <v>35</v>
      </c>
      <c r="C32" s="8" t="s">
        <v>135</v>
      </c>
      <c r="D32" s="10">
        <f>AVERAGE(3,3,2,3,2,3,3,2,3,3,3,3,4)</f>
        <v>2.8461538461538463</v>
      </c>
      <c r="E32" s="11">
        <v>13</v>
      </c>
      <c r="F32" s="10">
        <f>AVERAGE(2,3,2,3,3,3,2,2,3,4,4,4,4)</f>
        <v>3</v>
      </c>
      <c r="G32" s="11">
        <v>13</v>
      </c>
      <c r="H32" s="10">
        <f>AVERAGE(4,4,4,5,5,4,4,5,5,5,5,4,5)</f>
        <v>4.5384615384615383</v>
      </c>
      <c r="I32" s="11">
        <v>13</v>
      </c>
      <c r="J32" s="12" t="s">
        <v>110</v>
      </c>
    </row>
    <row r="33" spans="1:10" s="7" customFormat="1" ht="26" customHeight="1">
      <c r="A33" s="19" t="s">
        <v>36</v>
      </c>
      <c r="B33" s="20" t="s">
        <v>37</v>
      </c>
      <c r="C33" s="8" t="s">
        <v>135</v>
      </c>
      <c r="D33" s="10">
        <f>AVERAGE(3,3,4,3,3,4,4,2,2,2,1,3,4,2,)</f>
        <v>2.6666666666666665</v>
      </c>
      <c r="E33" s="11">
        <v>14</v>
      </c>
      <c r="F33" s="10">
        <f>AVERAGE(4,3,4,3,3,3,3,2,2,2,3,3,3,3)</f>
        <v>2.9285714285714284</v>
      </c>
      <c r="G33" s="11">
        <v>14</v>
      </c>
      <c r="H33" s="10">
        <f>AVERAGE(5,5,4,3,4,4,4,4,4,4,5,5,5,4)</f>
        <v>4.2857142857142856</v>
      </c>
      <c r="I33" s="11">
        <v>14</v>
      </c>
      <c r="J33" s="12" t="s">
        <v>111</v>
      </c>
    </row>
    <row r="34" spans="1:10" s="7" customFormat="1" ht="26" customHeight="1">
      <c r="A34" s="19" t="s">
        <v>38</v>
      </c>
      <c r="B34" s="20" t="s">
        <v>39</v>
      </c>
      <c r="C34" s="8" t="s">
        <v>135</v>
      </c>
      <c r="D34" s="10">
        <f>AVERAGE(4,4,3,3,3,3,3,4,2,3,3,3,2,3,2,5,5)</f>
        <v>3.2352941176470589</v>
      </c>
      <c r="E34" s="11">
        <v>17</v>
      </c>
      <c r="F34" s="10">
        <f>AVERAGE(3,3,3,3,4,4,4,4,3,3,3,4,4,3,3,5,4)</f>
        <v>3.5294117647058822</v>
      </c>
      <c r="G34" s="11">
        <v>17</v>
      </c>
      <c r="H34" s="10">
        <f>AVERAGE(5,5,5,4,4,4,4,4,4,5,4,4,4,4,4,5,4)</f>
        <v>4.2941176470588234</v>
      </c>
      <c r="I34" s="11">
        <v>17</v>
      </c>
      <c r="J34" s="12" t="s">
        <v>112</v>
      </c>
    </row>
    <row r="35" spans="1:10" s="7" customFormat="1" ht="26" customHeight="1">
      <c r="A35" s="19" t="s">
        <v>42</v>
      </c>
      <c r="B35" s="20" t="s">
        <v>43</v>
      </c>
      <c r="C35" s="8" t="s">
        <v>135</v>
      </c>
      <c r="D35" s="10">
        <f>AVERAGE(3,3,3,3,4,4,4,3,2,3,3,3,3,4)</f>
        <v>3.2142857142857144</v>
      </c>
      <c r="E35" s="11">
        <v>14</v>
      </c>
      <c r="F35" s="10">
        <f>AVERAGE(2,2,3,3,4,4,3,3,2,3,2,3,3,3)</f>
        <v>2.8571428571428572</v>
      </c>
      <c r="G35" s="11">
        <v>14</v>
      </c>
      <c r="H35" s="10">
        <f>AVERAGE(5,4,4,4,4,5,4,4,5,5,5,5,4,5)</f>
        <v>4.5</v>
      </c>
      <c r="I35" s="11">
        <v>14</v>
      </c>
      <c r="J35" s="12" t="s">
        <v>113</v>
      </c>
    </row>
    <row r="36" spans="1:10" s="7" customFormat="1" ht="26" customHeight="1">
      <c r="A36" s="19" t="s">
        <v>44</v>
      </c>
      <c r="B36" s="20" t="s">
        <v>45</v>
      </c>
      <c r="C36" s="8" t="s">
        <v>135</v>
      </c>
      <c r="D36" s="10">
        <f>AVERAGE(4,3,3,4,3,3,3,3,3,2,2,2,4,4)</f>
        <v>3.0714285714285716</v>
      </c>
      <c r="E36" s="11">
        <v>14</v>
      </c>
      <c r="F36" s="10">
        <f>AVERAGE(3,3,3,3,2,3,3,3,3,3,2,2,3,4)</f>
        <v>2.8571428571428572</v>
      </c>
      <c r="G36" s="11">
        <v>14</v>
      </c>
      <c r="H36" s="10">
        <f>AVERAGE(5,4,4,4,5,5,5,4,4,4,4,4,5)</f>
        <v>4.384615384615385</v>
      </c>
      <c r="I36" s="11">
        <v>13</v>
      </c>
      <c r="J36" s="12" t="s">
        <v>114</v>
      </c>
    </row>
    <row r="37" spans="1:10" s="7" customFormat="1" ht="26" customHeight="1">
      <c r="A37" s="19" t="s">
        <v>60</v>
      </c>
      <c r="B37" s="20" t="s">
        <v>61</v>
      </c>
      <c r="C37" s="8" t="s">
        <v>135</v>
      </c>
      <c r="D37" s="10">
        <f>AVERAGE(3,4,2,1,1,1,3,3,1,1,1,1)</f>
        <v>1.8333333333333333</v>
      </c>
      <c r="E37" s="11">
        <v>12</v>
      </c>
      <c r="F37" s="10">
        <f>AVERAGE(4,4,2,2,1,1,2,3,2,1,2,2)</f>
        <v>2.1666666666666665</v>
      </c>
      <c r="G37" s="11">
        <v>12</v>
      </c>
      <c r="H37" s="10">
        <f>AVERAGE(4,3,4,4,4,4,5,5,4,5,4,4)</f>
        <v>4.166666666666667</v>
      </c>
      <c r="I37" s="11">
        <v>12</v>
      </c>
      <c r="J37" s="12" t="s">
        <v>121</v>
      </c>
    </row>
    <row r="38" spans="1:10" s="7" customFormat="1" ht="26" customHeight="1">
      <c r="A38" s="19" t="s">
        <v>64</v>
      </c>
      <c r="B38" s="20" t="s">
        <v>65</v>
      </c>
      <c r="C38" s="8" t="s">
        <v>135</v>
      </c>
      <c r="D38" s="10">
        <f>AVERAGE(5,4,4,3,3,3,4,4,4,3,3,4)</f>
        <v>3.6666666666666665</v>
      </c>
      <c r="E38" s="11">
        <v>12</v>
      </c>
      <c r="F38" s="10">
        <f>AVERAGE(4,4,3,3,3,3,4,2,3,3,3,4)</f>
        <v>3.25</v>
      </c>
      <c r="G38" s="11">
        <v>12</v>
      </c>
      <c r="H38" s="10">
        <f>AVERAGE(3,4,2,3,4,4,4,5,4,3,4,4)</f>
        <v>3.6666666666666665</v>
      </c>
      <c r="I38" s="11">
        <v>12</v>
      </c>
      <c r="J38" s="12" t="s">
        <v>122</v>
      </c>
    </row>
    <row r="39" spans="1:10" s="7" customFormat="1" ht="26" customHeight="1">
      <c r="A39" s="19" t="s">
        <v>72</v>
      </c>
      <c r="B39" s="20" t="s">
        <v>73</v>
      </c>
      <c r="C39" s="8" t="s">
        <v>135</v>
      </c>
      <c r="D39" s="6">
        <f>AVERAGE(3,3,2,2,3,2,3,3,2,2,2,2,)</f>
        <v>2.2307692307692308</v>
      </c>
      <c r="E39" s="11">
        <v>12</v>
      </c>
      <c r="F39" s="6">
        <f>AVERAGE(3,4,3,2,3,2,4,3,2,3,3,3)</f>
        <v>2.9166666666666665</v>
      </c>
      <c r="G39" s="7">
        <v>12</v>
      </c>
      <c r="H39" s="6">
        <f>AVERAGE(4,4,4,3,3,4,5,4,4,3,3,3)</f>
        <v>3.6666666666666665</v>
      </c>
      <c r="I39" s="8">
        <v>12</v>
      </c>
      <c r="J39" s="9" t="s">
        <v>124</v>
      </c>
    </row>
    <row r="40" spans="1:10" s="7" customFormat="1" ht="26" customHeight="1">
      <c r="A40" s="19" t="s">
        <v>86</v>
      </c>
      <c r="B40" s="20" t="s">
        <v>87</v>
      </c>
      <c r="C40" s="8" t="s">
        <v>135</v>
      </c>
      <c r="D40" s="10">
        <f>AVERAGE(4,4,4,4,3,3,4,2,4,4,3,4,4)</f>
        <v>3.6153846153846154</v>
      </c>
      <c r="E40" s="11">
        <v>13</v>
      </c>
      <c r="F40" s="10">
        <f>AVERAGE(3,4,3,4,3,3,4,4,4,5,5,5,4)</f>
        <v>3.9230769230769229</v>
      </c>
      <c r="G40" s="11">
        <v>13</v>
      </c>
      <c r="H40" s="10">
        <f>AVERAGE(5,4,4,4,4,4,4,4,4,5,4,5,4)</f>
        <v>4.2307692307692308</v>
      </c>
      <c r="I40" s="11">
        <v>13</v>
      </c>
      <c r="J40" s="12" t="s">
        <v>131</v>
      </c>
    </row>
    <row r="41" spans="1:10" s="7" customFormat="1" ht="26" customHeight="1">
      <c r="A41" s="19" t="s">
        <v>2</v>
      </c>
      <c r="B41" s="20" t="s">
        <v>3</v>
      </c>
      <c r="C41" s="8" t="s">
        <v>132</v>
      </c>
      <c r="D41" s="6">
        <f>AVERAGE(4,2,2,2,3,3,3,3,3,4,3,4,2,2,2,2,4,2)</f>
        <v>2.7777777777777777</v>
      </c>
      <c r="E41" s="7">
        <v>18</v>
      </c>
      <c r="F41" s="6">
        <f>AVERAGE(5,4,4,2,2,3,3,4,4,3,4,4,3,3,2,3,5,2)</f>
        <v>3.3333333333333335</v>
      </c>
      <c r="G41" s="7">
        <v>18</v>
      </c>
      <c r="H41" s="6">
        <f>AVERAGE(5,5,5,4,4,4,4,5,5,4,4,4,5,5,2,5,4)</f>
        <v>4.3529411764705879</v>
      </c>
      <c r="I41" s="8">
        <v>17</v>
      </c>
      <c r="J41" s="9" t="s">
        <v>96</v>
      </c>
    </row>
    <row r="42" spans="1:10" s="7" customFormat="1" ht="26" customHeight="1">
      <c r="A42" s="19" t="s">
        <v>30</v>
      </c>
      <c r="B42" s="20" t="s">
        <v>31</v>
      </c>
      <c r="C42" s="8" t="s">
        <v>132</v>
      </c>
      <c r="D42" s="6">
        <f>AVERAGE(3,3,3,3,4,3,2,2,2,3,3,2,4)</f>
        <v>2.8461538461538463</v>
      </c>
      <c r="E42" s="11">
        <v>13</v>
      </c>
      <c r="F42" s="6">
        <f>AVERAGE(3,3,4,4,3,2,2,3,3,4,2,4)</f>
        <v>3.0833333333333335</v>
      </c>
      <c r="G42" s="11">
        <v>12</v>
      </c>
      <c r="H42" s="6">
        <f>AVERAGE(4,4,4,3,4,2,3,4,4,3,4,4)</f>
        <v>3.5833333333333335</v>
      </c>
      <c r="I42" s="11">
        <v>12</v>
      </c>
      <c r="J42" s="9" t="s">
        <v>106</v>
      </c>
    </row>
    <row r="43" spans="1:10" s="7" customFormat="1" ht="26" customHeight="1">
      <c r="A43" s="19" t="s">
        <v>46</v>
      </c>
      <c r="B43" s="20" t="s">
        <v>47</v>
      </c>
      <c r="C43" s="8" t="s">
        <v>132</v>
      </c>
      <c r="D43" s="6">
        <f>AVERAGE(3,4,3,3,4,2,1,1,2,3,2)</f>
        <v>2.5454545454545454</v>
      </c>
      <c r="E43" s="11">
        <v>11</v>
      </c>
      <c r="F43" s="6">
        <f>AVERAGE(4,4,3,4,5,2,1,1,3,3,4)</f>
        <v>3.0909090909090908</v>
      </c>
      <c r="G43" s="7">
        <v>11</v>
      </c>
      <c r="H43" s="6">
        <f>AVERAGE(4,5,4,4,4,2,2,4,3,3)</f>
        <v>3.5</v>
      </c>
      <c r="I43" s="8">
        <v>10</v>
      </c>
      <c r="J43" s="9" t="s">
        <v>115</v>
      </c>
    </row>
    <row r="44" spans="1:10" s="7" customFormat="1" ht="26" customHeight="1">
      <c r="A44" s="19" t="s">
        <v>54</v>
      </c>
      <c r="B44" s="20" t="s">
        <v>55</v>
      </c>
      <c r="C44" s="8" t="s">
        <v>132</v>
      </c>
      <c r="D44" s="6">
        <f>AVERAGE(3,2,3,2,2,2,2,2,2,2,3,2,3)</f>
        <v>2.3076923076923075</v>
      </c>
      <c r="E44" s="11">
        <v>13</v>
      </c>
      <c r="F44" s="6">
        <f>AVERAGE(4,3,2,3,3,2,2,3,4,2,2,2,2)</f>
        <v>2.6153846153846154</v>
      </c>
      <c r="G44" s="7">
        <v>13</v>
      </c>
      <c r="H44" s="6">
        <f>AVERAGE(3,3,2,2,3,3,3,3,3,3,2,2,3)</f>
        <v>2.6923076923076925</v>
      </c>
      <c r="I44" s="8">
        <v>13</v>
      </c>
      <c r="J44" s="9" t="s">
        <v>118</v>
      </c>
    </row>
    <row r="45" spans="1:10" s="7" customFormat="1" ht="26" customHeight="1">
      <c r="A45" s="21" t="s">
        <v>89</v>
      </c>
      <c r="B45" s="20" t="s">
        <v>90</v>
      </c>
      <c r="C45" s="8" t="s">
        <v>132</v>
      </c>
      <c r="D45" s="6">
        <f>AVERAGE(4,4,4,4,4,4,4,4,3,4)</f>
        <v>3.9</v>
      </c>
      <c r="E45" s="11">
        <v>10</v>
      </c>
      <c r="F45" s="6">
        <f>AVERAGE(4,3,4,4,4,4,4,4,3,3)</f>
        <v>3.7</v>
      </c>
      <c r="G45" s="7">
        <v>10</v>
      </c>
      <c r="H45" s="6">
        <f>AVERAGE(5,4,4,4,4,4,5,5,4,5)</f>
        <v>4.4000000000000004</v>
      </c>
      <c r="I45" s="8">
        <v>10</v>
      </c>
      <c r="J45" s="9"/>
    </row>
    <row r="46" spans="1:10" s="7" customFormat="1" ht="26" customHeight="1">
      <c r="A46" s="19" t="s">
        <v>78</v>
      </c>
      <c r="B46" s="20" t="s">
        <v>79</v>
      </c>
      <c r="C46" s="8" t="s">
        <v>132</v>
      </c>
      <c r="D46" s="6">
        <f>AVERAGE(3,4,3,2,1,2,2,2,2,1,1)</f>
        <v>2.0909090909090908</v>
      </c>
      <c r="E46" s="11">
        <v>11</v>
      </c>
      <c r="F46" s="6">
        <f>AVERAGE(3,3,2,2,2,3,2,2,2,1)</f>
        <v>2.2000000000000002</v>
      </c>
      <c r="G46" s="7">
        <v>10</v>
      </c>
      <c r="H46" s="6">
        <f>AVERAGE(4,4,4,3,3,3,3,4,4,3)</f>
        <v>3.5</v>
      </c>
      <c r="I46" s="8">
        <v>10</v>
      </c>
      <c r="J46" s="9" t="s">
        <v>128</v>
      </c>
    </row>
  </sheetData>
  <sortState ref="A2:J46">
    <sortCondition ref="C2:C46"/>
  </sortState>
  <phoneticPr fontId="1" type="noConversion"/>
  <printOptions gridLines="1"/>
  <pageMargins left="0.53" right="0.67" top="1.08" bottom="0.5" header="0.54" footer="0.47"/>
  <pageSetup orientation="landscape" horizontalDpi="4294967292" verticalDpi="4294967292"/>
  <headerFooter>
    <oddHeader>&amp;C&amp;"-,Bold"&amp;16TOMATOES&amp;"-,Regular"&amp;12_x000D_C=CONTAINER, CH=CHERRY, H=HEIRLOOM, HY=HYBRID, OP=OPEN POLLINATED, P=PASTE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Layout" workbookViewId="0">
      <selection activeCell="D9" sqref="D9"/>
    </sheetView>
  </sheetViews>
  <sheetFormatPr baseColWidth="10" defaultRowHeight="13" x14ac:dyDescent="0"/>
  <cols>
    <col min="1" max="1" width="21.83203125" style="15" bestFit="1" customWidth="1"/>
    <col min="2" max="2" width="83" style="5" hidden="1" customWidth="1"/>
    <col min="3" max="3" width="5.33203125" style="18" bestFit="1" customWidth="1"/>
    <col min="4" max="4" width="8.1640625" style="6" customWidth="1"/>
    <col min="5" max="5" width="3.5" style="4" bestFit="1" customWidth="1"/>
    <col min="6" max="6" width="9.1640625" style="6" customWidth="1"/>
    <col min="7" max="7" width="3.5" style="7" bestFit="1" customWidth="1"/>
    <col min="8" max="8" width="11.83203125" style="6" bestFit="1" customWidth="1"/>
    <col min="9" max="9" width="3.5" style="8" bestFit="1" customWidth="1"/>
    <col min="10" max="10" width="48" style="9" customWidth="1"/>
    <col min="11" max="16384" width="10.83203125" style="4"/>
  </cols>
  <sheetData>
    <row r="1" spans="1:10" s="7" customFormat="1" ht="39">
      <c r="A1" s="19" t="s">
        <v>0</v>
      </c>
      <c r="B1" s="17" t="s">
        <v>1</v>
      </c>
      <c r="C1" s="16" t="s">
        <v>88</v>
      </c>
      <c r="D1" s="1" t="s">
        <v>92</v>
      </c>
      <c r="E1" s="2" t="s">
        <v>93</v>
      </c>
      <c r="F1" s="1" t="s">
        <v>94</v>
      </c>
      <c r="G1" s="2" t="s">
        <v>93</v>
      </c>
      <c r="H1" s="1" t="s">
        <v>95</v>
      </c>
      <c r="I1" s="2" t="s">
        <v>93</v>
      </c>
      <c r="J1" s="3" t="s">
        <v>138</v>
      </c>
    </row>
    <row r="2" spans="1:10" s="7" customFormat="1" ht="26" customHeight="1">
      <c r="A2" s="19" t="s">
        <v>2</v>
      </c>
      <c r="B2" s="20" t="s">
        <v>3</v>
      </c>
      <c r="C2" s="8" t="s">
        <v>132</v>
      </c>
      <c r="D2" s="6">
        <f>AVERAGE(4,2,2,2,3,3,3,3,3,4,3,4,2,2,2,2,4,2)</f>
        <v>2.7777777777777777</v>
      </c>
      <c r="E2" s="7">
        <v>18</v>
      </c>
      <c r="F2" s="6">
        <f>AVERAGE(5,4,4,2,2,3,3,4,4,3,4,4,3,3,2,3,5,2)</f>
        <v>3.3333333333333335</v>
      </c>
      <c r="G2" s="7">
        <v>18</v>
      </c>
      <c r="H2" s="6">
        <f>AVERAGE(5,5,5,4,4,4,4,5,5,4,4,4,5,5,2,5,4)</f>
        <v>4.3529411764705879</v>
      </c>
      <c r="I2" s="8">
        <v>17</v>
      </c>
      <c r="J2" s="9" t="s">
        <v>96</v>
      </c>
    </row>
    <row r="3" spans="1:10" s="7" customFormat="1" ht="26" customHeight="1">
      <c r="A3" s="19" t="s">
        <v>4</v>
      </c>
      <c r="B3" s="20" t="s">
        <v>5</v>
      </c>
      <c r="C3" s="8" t="s">
        <v>133</v>
      </c>
      <c r="D3" s="6">
        <f>AVERAGE(3,4,3,3,3,3,2,3,2,2,2,2,2,3,4)</f>
        <v>2.7333333333333334</v>
      </c>
      <c r="E3" s="7">
        <v>15</v>
      </c>
      <c r="F3" s="6">
        <f>AVERAGE(4,4,3,3,3,3,3,4,2,3,3,2,2,4,4)</f>
        <v>3.1333333333333333</v>
      </c>
      <c r="G3" s="7">
        <v>15</v>
      </c>
      <c r="H3" s="6">
        <f>AVERAGE(5,5,4,3,4,4,4,4,4,4,4,4,3,5,5)</f>
        <v>4.1333333333333337</v>
      </c>
      <c r="I3" s="8">
        <v>15</v>
      </c>
      <c r="J3" s="9" t="s">
        <v>97</v>
      </c>
    </row>
    <row r="4" spans="1:10" s="7" customFormat="1" ht="26" customHeight="1">
      <c r="A4" s="19" t="s">
        <v>6</v>
      </c>
      <c r="B4" s="20" t="s">
        <v>7</v>
      </c>
      <c r="C4" s="8" t="s">
        <v>134</v>
      </c>
      <c r="D4" s="10">
        <f>AVERAGE(3,3,3,4,4,4,4,3,3,3,3,3,5,5)</f>
        <v>3.5714285714285716</v>
      </c>
      <c r="E4" s="11">
        <v>14</v>
      </c>
      <c r="F4" s="10">
        <f>AVERAGE(3,4,3,4,4,4,4,3,4,3,3,3,4,4)</f>
        <v>3.5714285714285716</v>
      </c>
      <c r="G4" s="11">
        <v>14</v>
      </c>
      <c r="H4" s="10">
        <f>AVERAGE(5,4,3,4,4,3,4,4,4,5,4,3,5,5)</f>
        <v>4.0714285714285712</v>
      </c>
      <c r="I4" s="11">
        <v>14</v>
      </c>
      <c r="J4" s="12"/>
    </row>
    <row r="5" spans="1:10" s="7" customFormat="1" ht="26" customHeight="1">
      <c r="A5" s="19" t="s">
        <v>8</v>
      </c>
      <c r="B5" s="20" t="s">
        <v>9</v>
      </c>
      <c r="C5" s="8" t="s">
        <v>135</v>
      </c>
      <c r="D5" s="10">
        <f>AVERAGE(3,3,3,2,4,4,4,5,3,5,4,4,5,3,3,4)</f>
        <v>3.6875</v>
      </c>
      <c r="E5" s="11">
        <v>16</v>
      </c>
      <c r="F5" s="10">
        <f>AVERAGE(4,4,4,3,3,4,4,5,3,5,5,5,4,4,4,4)</f>
        <v>4.0625</v>
      </c>
      <c r="G5" s="11">
        <v>16</v>
      </c>
      <c r="H5" s="10">
        <f>AVERAGE(5,5,5,4,4,4,5,5,5,5,5,5,5,4,5,3)</f>
        <v>4.625</v>
      </c>
      <c r="I5" s="11">
        <v>16</v>
      </c>
      <c r="J5" s="12" t="s">
        <v>98</v>
      </c>
    </row>
    <row r="6" spans="1:10" s="7" customFormat="1" ht="26" customHeight="1">
      <c r="A6" s="19" t="s">
        <v>10</v>
      </c>
      <c r="B6" s="20" t="s">
        <v>11</v>
      </c>
      <c r="C6" s="8" t="s">
        <v>135</v>
      </c>
      <c r="D6" s="10">
        <f>AVERAGE(5,3,2,2,4,2,2,2,3,3,2,3)</f>
        <v>2.75</v>
      </c>
      <c r="E6" s="11">
        <v>12</v>
      </c>
      <c r="F6" s="10">
        <f>AVERAGE(4,2,2,2,3,2,2,2,3,3,2,2,)</f>
        <v>2.2307692307692308</v>
      </c>
      <c r="G6" s="11">
        <v>12</v>
      </c>
      <c r="H6" s="10">
        <f>AVERAGE(5,5,4,4,4,3,4,4,5,5,5,5)</f>
        <v>4.416666666666667</v>
      </c>
      <c r="I6" s="11">
        <v>12</v>
      </c>
      <c r="J6" s="12" t="s">
        <v>99</v>
      </c>
    </row>
    <row r="7" spans="1:10" s="7" customFormat="1" ht="26" customHeight="1">
      <c r="A7" s="19" t="s">
        <v>12</v>
      </c>
      <c r="B7" s="20" t="s">
        <v>13</v>
      </c>
      <c r="C7" s="8" t="s">
        <v>136</v>
      </c>
      <c r="D7" s="6">
        <f>AVERAGE(4,5,4,4,5,4,5,5,5,5,5,5,5,4,5,5,5)</f>
        <v>4.7058823529411766</v>
      </c>
      <c r="E7" s="11">
        <v>17</v>
      </c>
      <c r="F7" s="6">
        <f>AVERAGE(5,5,4,4,5,5,5,5,5,5,5,5,5,4,4,4,5)</f>
        <v>4.7058823529411766</v>
      </c>
      <c r="G7" s="11">
        <v>17</v>
      </c>
      <c r="H7" s="6">
        <f>AVERAGE(5,5,4,4,4,4,5,5,5,5,5,5,5,4,4,4,5)</f>
        <v>4.5882352941176467</v>
      </c>
      <c r="I7" s="11">
        <v>17</v>
      </c>
      <c r="J7" s="12" t="s">
        <v>100</v>
      </c>
    </row>
    <row r="8" spans="1:10" s="7" customFormat="1" ht="26" customHeight="1">
      <c r="A8" s="19" t="s">
        <v>14</v>
      </c>
      <c r="B8" s="20" t="s">
        <v>15</v>
      </c>
      <c r="C8" s="8" t="s">
        <v>133</v>
      </c>
      <c r="D8" s="6">
        <f>AVERAGE(3,2,4,4,3,4,4,4,5,3,5,3,2)</f>
        <v>3.5384615384615383</v>
      </c>
      <c r="E8" s="11">
        <v>13</v>
      </c>
      <c r="F8" s="6">
        <f>AVERAGE(4,3,3,3,3,3,4,3,4,4,5,3)</f>
        <v>3.5</v>
      </c>
      <c r="G8" s="11">
        <v>12</v>
      </c>
      <c r="H8" s="6">
        <f>AVERAGE(5,4,5,4,4,5,5,4,4,5,4,5,4)</f>
        <v>4.4615384615384617</v>
      </c>
      <c r="I8" s="11">
        <v>13</v>
      </c>
      <c r="J8" s="9"/>
    </row>
    <row r="9" spans="1:10" s="7" customFormat="1" ht="26" customHeight="1">
      <c r="A9" s="19" t="s">
        <v>16</v>
      </c>
      <c r="B9" s="20" t="s">
        <v>17</v>
      </c>
      <c r="C9" s="8" t="s">
        <v>135</v>
      </c>
      <c r="D9" s="10">
        <f>AVERAGE(3,2,2,3,2,2,2,1,2,2)</f>
        <v>2.1</v>
      </c>
      <c r="E9" s="11">
        <v>10</v>
      </c>
      <c r="F9" s="10">
        <f>AVERAGE(4,3,3,3,2,2,2,3,2,2)</f>
        <v>2.6</v>
      </c>
      <c r="G9" s="11">
        <v>10</v>
      </c>
      <c r="H9" s="10">
        <f>AVERAGE(5,4,4,3,3,3,4,4,5,5,4)</f>
        <v>4</v>
      </c>
      <c r="I9" s="11">
        <v>10</v>
      </c>
      <c r="J9" s="12" t="s">
        <v>101</v>
      </c>
    </row>
    <row r="10" spans="1:10" s="7" customFormat="1" ht="26" customHeight="1">
      <c r="A10" s="19" t="s">
        <v>18</v>
      </c>
      <c r="B10" s="20" t="s">
        <v>19</v>
      </c>
      <c r="C10" s="8" t="s">
        <v>134</v>
      </c>
      <c r="D10" s="10">
        <v>4</v>
      </c>
      <c r="E10" s="11">
        <v>2</v>
      </c>
      <c r="F10" s="10">
        <v>4.5</v>
      </c>
      <c r="G10" s="11">
        <v>2</v>
      </c>
      <c r="H10" s="10">
        <v>4.5</v>
      </c>
      <c r="I10" s="11">
        <v>2</v>
      </c>
      <c r="J10" s="12" t="s">
        <v>102</v>
      </c>
    </row>
    <row r="11" spans="1:10" s="7" customFormat="1" ht="26" customHeight="1">
      <c r="A11" s="19" t="s">
        <v>20</v>
      </c>
      <c r="B11" s="20" t="s">
        <v>21</v>
      </c>
      <c r="C11" s="8" t="s">
        <v>134</v>
      </c>
      <c r="D11" s="10">
        <f>AVERAGE(4,3,5,4,4,3,3,4,4,4,4,4,3,3,4)</f>
        <v>3.7333333333333334</v>
      </c>
      <c r="E11" s="11">
        <v>15</v>
      </c>
      <c r="F11" s="10">
        <f>AVERAGE(4,4,4,4,4,4,4,4,4,4,4,4,3,4,4)</f>
        <v>3.9333333333333331</v>
      </c>
      <c r="G11" s="11">
        <v>15</v>
      </c>
      <c r="H11" s="10">
        <f>AVERAGE(5,5,4,4,4,4,4,4,4,3,3,5,3,4,4)</f>
        <v>4</v>
      </c>
      <c r="I11" s="11">
        <v>15</v>
      </c>
      <c r="J11" s="12" t="s">
        <v>103</v>
      </c>
    </row>
    <row r="12" spans="1:10" s="7" customFormat="1" ht="26" customHeight="1">
      <c r="A12" s="19" t="s">
        <v>22</v>
      </c>
      <c r="B12" s="20" t="s">
        <v>23</v>
      </c>
      <c r="C12" s="8" t="s">
        <v>134</v>
      </c>
      <c r="D12" s="10">
        <f>AVERAGE(3,4,3,4,4,3,3,4,3,4,4,3,3)</f>
        <v>3.4615384615384617</v>
      </c>
      <c r="E12" s="11">
        <v>13</v>
      </c>
      <c r="F12" s="10">
        <f>AVERAGE(4,3,3,3,3,3,4,4,5,4,3,4)</f>
        <v>3.5833333333333335</v>
      </c>
      <c r="G12" s="11">
        <v>12</v>
      </c>
      <c r="H12" s="10">
        <f>AVERAGE(4,4,3,4,4,4,4,4,4,4,5,3,5)</f>
        <v>4</v>
      </c>
      <c r="I12" s="11">
        <v>13</v>
      </c>
      <c r="J12" s="12"/>
    </row>
    <row r="13" spans="1:10" s="7" customFormat="1" ht="26" customHeight="1">
      <c r="A13" s="19" t="s">
        <v>24</v>
      </c>
      <c r="B13" s="20" t="s">
        <v>25</v>
      </c>
      <c r="C13" s="8" t="s">
        <v>133</v>
      </c>
      <c r="D13" s="6">
        <f>AVERAGE(3,5,5,4,4,5,4,3,3,4,4,5,4)</f>
        <v>4.0769230769230766</v>
      </c>
      <c r="E13" s="11">
        <v>13</v>
      </c>
      <c r="F13" s="6">
        <f>AVERAGE(4,5,4,3,4,4,4,2,3,3,5,4)</f>
        <v>3.75</v>
      </c>
      <c r="G13" s="11">
        <v>12</v>
      </c>
      <c r="H13" s="6">
        <f>AVERAGE(5,5,5,4,4,4,5,4,4,5,5,4)</f>
        <v>4.5</v>
      </c>
      <c r="I13" s="11">
        <v>13</v>
      </c>
      <c r="J13" s="12" t="s">
        <v>104</v>
      </c>
    </row>
    <row r="14" spans="1:10" s="13" customFormat="1" ht="26" customHeight="1">
      <c r="A14" s="3" t="s">
        <v>26</v>
      </c>
      <c r="B14" s="9" t="s">
        <v>27</v>
      </c>
      <c r="C14" s="8" t="s">
        <v>135</v>
      </c>
      <c r="D14" s="10">
        <f>AVERAGE(3.5,3,3,3,3,4,3,2,3,3,2,4,3)</f>
        <v>3.0384615384615383</v>
      </c>
      <c r="E14" s="11">
        <v>13</v>
      </c>
      <c r="F14" s="10">
        <f>AVERAGE(5,4,3,3,3,4,3,2,3,3,3,3)</f>
        <v>3.25</v>
      </c>
      <c r="G14" s="11">
        <v>12</v>
      </c>
      <c r="H14" s="10">
        <f>AVERAGE(5,5,5,4,3,5,5,4,3,5,5,5)</f>
        <v>4.5</v>
      </c>
      <c r="I14" s="14">
        <v>12</v>
      </c>
      <c r="J14" s="12"/>
    </row>
    <row r="15" spans="1:10" s="7" customFormat="1" ht="26" customHeight="1">
      <c r="A15" s="19" t="s">
        <v>28</v>
      </c>
      <c r="B15" s="20" t="s">
        <v>29</v>
      </c>
      <c r="C15" s="8" t="s">
        <v>133</v>
      </c>
      <c r="D15" s="6">
        <f>AVERAGE(4,3,3,3,3,3,3,3,4,3,4,4,3,4)</f>
        <v>3.3571428571428572</v>
      </c>
      <c r="E15" s="11">
        <v>14</v>
      </c>
      <c r="F15" s="6">
        <f>AVERAGE(4,3,3,3,3,3,4,3,3,3,4,3,4,4)</f>
        <v>3.3571428571428572</v>
      </c>
      <c r="G15" s="11">
        <v>13</v>
      </c>
      <c r="H15" s="6">
        <f>AVERAGE(4,3,4,4,5,4,4,4,5,5,5,5,5)</f>
        <v>4.384615384615385</v>
      </c>
      <c r="I15" s="11">
        <v>13</v>
      </c>
      <c r="J15" s="9" t="s">
        <v>105</v>
      </c>
    </row>
    <row r="16" spans="1:10" s="7" customFormat="1" ht="26" customHeight="1">
      <c r="A16" s="19" t="s">
        <v>30</v>
      </c>
      <c r="B16" s="20" t="s">
        <v>31</v>
      </c>
      <c r="C16" s="8" t="s">
        <v>132</v>
      </c>
      <c r="D16" s="6">
        <f>AVERAGE(3,3,3,3,4,3,2,2,2,3,3,2,4)</f>
        <v>2.8461538461538463</v>
      </c>
      <c r="E16" s="11">
        <v>13</v>
      </c>
      <c r="F16" s="6">
        <f>AVERAGE(3,3,4,4,3,2,2,3,3,4,2,4)</f>
        <v>3.0833333333333335</v>
      </c>
      <c r="G16" s="11">
        <v>12</v>
      </c>
      <c r="H16" s="6">
        <f>AVERAGE(4,4,4,3,4,2,3,4,4,3,4,4)</f>
        <v>3.5833333333333335</v>
      </c>
      <c r="I16" s="11">
        <v>12</v>
      </c>
      <c r="J16" s="9" t="s">
        <v>106</v>
      </c>
    </row>
    <row r="17" spans="1:10" s="7" customFormat="1" ht="26" customHeight="1">
      <c r="A17" s="19" t="s">
        <v>91</v>
      </c>
      <c r="B17" s="20" t="s">
        <v>107</v>
      </c>
      <c r="C17" s="8" t="s">
        <v>133</v>
      </c>
      <c r="D17" s="6">
        <f>AVERAGE(3,3,3,4,3,3,4.5,3,3,3,4,3,3)</f>
        <v>3.2692307692307692</v>
      </c>
      <c r="E17" s="11">
        <v>13</v>
      </c>
      <c r="F17" s="6">
        <f>AVERAGE(4,4,4,5,4,4,5,2,3,3,4,4,4)</f>
        <v>3.8461538461538463</v>
      </c>
      <c r="G17" s="11">
        <v>13</v>
      </c>
      <c r="H17" s="6">
        <f>AVERAGE(4,4,4,4,4,4,4,4,4,4,4,5,4)</f>
        <v>4.0769230769230766</v>
      </c>
      <c r="I17" s="11">
        <v>13</v>
      </c>
      <c r="J17" s="9" t="s">
        <v>108</v>
      </c>
    </row>
    <row r="18" spans="1:10" s="7" customFormat="1" ht="26" customHeight="1">
      <c r="A18" s="19" t="s">
        <v>32</v>
      </c>
      <c r="B18" s="20" t="s">
        <v>33</v>
      </c>
      <c r="C18" s="8" t="s">
        <v>133</v>
      </c>
      <c r="D18" s="6">
        <f>AVERAGE(4,3,5,4,3,5,4,5,3,2,2,3,2,3,5,4,4,5)</f>
        <v>3.6666666666666665</v>
      </c>
      <c r="E18" s="11">
        <v>18</v>
      </c>
      <c r="F18" s="6">
        <f>AVERAGE(3,3,4,4,3,4,4,4,1,4,4,4,4,4,4,4,5)</f>
        <v>3.7058823529411766</v>
      </c>
      <c r="G18" s="11">
        <v>17</v>
      </c>
      <c r="H18" s="6">
        <f>AVERAGE(5,5,5,4,5,4,5,5,4,5,5,4,4,5,5,4,5)</f>
        <v>4.6470588235294121</v>
      </c>
      <c r="I18" s="11">
        <v>17</v>
      </c>
      <c r="J18" s="9" t="s">
        <v>109</v>
      </c>
    </row>
    <row r="19" spans="1:10" s="7" customFormat="1" ht="26" customHeight="1">
      <c r="A19" s="19" t="s">
        <v>34</v>
      </c>
      <c r="B19" s="20" t="s">
        <v>35</v>
      </c>
      <c r="C19" s="8" t="s">
        <v>135</v>
      </c>
      <c r="D19" s="10">
        <f>AVERAGE(3,3,2,3,2,3,3,2,3,3,3,3,4)</f>
        <v>2.8461538461538463</v>
      </c>
      <c r="E19" s="11">
        <v>13</v>
      </c>
      <c r="F19" s="10">
        <f>AVERAGE(2,3,2,3,3,3,2,2,3,4,4,4,4)</f>
        <v>3</v>
      </c>
      <c r="G19" s="11">
        <v>13</v>
      </c>
      <c r="H19" s="10">
        <f>AVERAGE(4,4,4,5,5,4,4,5,5,5,5,4,5)</f>
        <v>4.5384615384615383</v>
      </c>
      <c r="I19" s="11">
        <v>13</v>
      </c>
      <c r="J19" s="12" t="s">
        <v>110</v>
      </c>
    </row>
    <row r="20" spans="1:10" s="7" customFormat="1" ht="26" customHeight="1">
      <c r="A20" s="19" t="s">
        <v>36</v>
      </c>
      <c r="B20" s="20" t="s">
        <v>37</v>
      </c>
      <c r="C20" s="8" t="s">
        <v>135</v>
      </c>
      <c r="D20" s="10">
        <f>AVERAGE(3,3,4,3,3,4,4,2,2,2,1,3,4,2,)</f>
        <v>2.6666666666666665</v>
      </c>
      <c r="E20" s="11">
        <v>14</v>
      </c>
      <c r="F20" s="10">
        <f>AVERAGE(4,3,4,3,3,3,3,2,2,2,3,3,3,3)</f>
        <v>2.9285714285714284</v>
      </c>
      <c r="G20" s="11">
        <v>14</v>
      </c>
      <c r="H20" s="10">
        <f>AVERAGE(5,5,4,3,4,4,4,4,4,4,5,5,5,4)</f>
        <v>4.2857142857142856</v>
      </c>
      <c r="I20" s="11">
        <v>14</v>
      </c>
      <c r="J20" s="12" t="s">
        <v>111</v>
      </c>
    </row>
    <row r="21" spans="1:10" s="7" customFormat="1" ht="26" customHeight="1">
      <c r="A21" s="19" t="s">
        <v>38</v>
      </c>
      <c r="B21" s="20" t="s">
        <v>39</v>
      </c>
      <c r="C21" s="8" t="s">
        <v>135</v>
      </c>
      <c r="D21" s="10">
        <f>AVERAGE(4,4,3,3,3,3,3,4,2,3,3,3,2,3,2,5,5)</f>
        <v>3.2352941176470589</v>
      </c>
      <c r="E21" s="11">
        <v>17</v>
      </c>
      <c r="F21" s="10">
        <f>AVERAGE(3,3,3,3,4,4,4,4,3,3,3,4,4,3,3,5,4)</f>
        <v>3.5294117647058822</v>
      </c>
      <c r="G21" s="11">
        <v>17</v>
      </c>
      <c r="H21" s="10">
        <f>AVERAGE(5,5,5,4,4,4,4,4,4,5,4,4,4,4,4,5,4)</f>
        <v>4.2941176470588234</v>
      </c>
      <c r="I21" s="11">
        <v>17</v>
      </c>
      <c r="J21" s="12" t="s">
        <v>112</v>
      </c>
    </row>
    <row r="22" spans="1:10" s="7" customFormat="1" ht="26" customHeight="1">
      <c r="A22" s="19" t="s">
        <v>40</v>
      </c>
      <c r="B22" s="20" t="s">
        <v>41</v>
      </c>
      <c r="C22" s="8" t="s">
        <v>133</v>
      </c>
      <c r="D22" s="10">
        <f>AVERAGE(2,2,3,2,4,2,4,4,4,3,4,2,4)</f>
        <v>3.0769230769230771</v>
      </c>
      <c r="E22" s="11">
        <v>13</v>
      </c>
      <c r="F22" s="6">
        <f>AVERAGE(4,3,3,3,3,2,4,4,4,3,4,3,3)</f>
        <v>3.3076923076923075</v>
      </c>
      <c r="G22" s="11">
        <v>13</v>
      </c>
      <c r="H22" s="6">
        <f>AVERAGE(3,2,4,3,4,4,4,5,5,5,5,4,4)</f>
        <v>4</v>
      </c>
      <c r="I22" s="11">
        <v>13</v>
      </c>
      <c r="J22" s="9"/>
    </row>
    <row r="23" spans="1:10" s="7" customFormat="1" ht="26" customHeight="1">
      <c r="A23" s="19" t="s">
        <v>42</v>
      </c>
      <c r="B23" s="20" t="s">
        <v>43</v>
      </c>
      <c r="C23" s="8" t="s">
        <v>135</v>
      </c>
      <c r="D23" s="10">
        <f>AVERAGE(3,3,3,3,4,4,4,3,2,3,3,3,3,4)</f>
        <v>3.2142857142857144</v>
      </c>
      <c r="E23" s="11">
        <v>14</v>
      </c>
      <c r="F23" s="10">
        <f>AVERAGE(2,2,3,3,4,4,3,3,2,3,2,3,3,3)</f>
        <v>2.8571428571428572</v>
      </c>
      <c r="G23" s="11">
        <v>14</v>
      </c>
      <c r="H23" s="10">
        <f>AVERAGE(5,4,4,4,4,5,4,4,5,5,5,5,4,5)</f>
        <v>4.5</v>
      </c>
      <c r="I23" s="11">
        <v>14</v>
      </c>
      <c r="J23" s="12" t="s">
        <v>113</v>
      </c>
    </row>
    <row r="24" spans="1:10" s="7" customFormat="1" ht="26" customHeight="1">
      <c r="A24" s="19" t="s">
        <v>44</v>
      </c>
      <c r="B24" s="20" t="s">
        <v>45</v>
      </c>
      <c r="C24" s="8" t="s">
        <v>135</v>
      </c>
      <c r="D24" s="10">
        <f>AVERAGE(4,3,3,4,3,3,3,3,3,2,2,2,4,4)</f>
        <v>3.0714285714285716</v>
      </c>
      <c r="E24" s="11">
        <v>14</v>
      </c>
      <c r="F24" s="10">
        <f>AVERAGE(3,3,3,3,2,3,3,3,3,3,2,2,3,4)</f>
        <v>2.8571428571428572</v>
      </c>
      <c r="G24" s="11">
        <v>14</v>
      </c>
      <c r="H24" s="10">
        <f>AVERAGE(5,4,4,4,5,5,5,4,4,4,4,4,5)</f>
        <v>4.384615384615385</v>
      </c>
      <c r="I24" s="11">
        <v>13</v>
      </c>
      <c r="J24" s="12" t="s">
        <v>114</v>
      </c>
    </row>
    <row r="25" spans="1:10" s="7" customFormat="1" ht="26" customHeight="1">
      <c r="A25" s="19" t="s">
        <v>46</v>
      </c>
      <c r="B25" s="20" t="s">
        <v>47</v>
      </c>
      <c r="C25" s="8" t="s">
        <v>132</v>
      </c>
      <c r="D25" s="6">
        <f>AVERAGE(3,4,3,3,4,2,1,1,2,3,2)</f>
        <v>2.5454545454545454</v>
      </c>
      <c r="E25" s="11">
        <v>11</v>
      </c>
      <c r="F25" s="6">
        <f>AVERAGE(4,4,3,4,5,2,1,1,3,3,4)</f>
        <v>3.0909090909090908</v>
      </c>
      <c r="G25" s="7">
        <v>11</v>
      </c>
      <c r="H25" s="6">
        <f>AVERAGE(4,5,4,4,4,2,2,4,3,3)</f>
        <v>3.5</v>
      </c>
      <c r="I25" s="8">
        <v>10</v>
      </c>
      <c r="J25" s="9" t="s">
        <v>115</v>
      </c>
    </row>
    <row r="26" spans="1:10" s="7" customFormat="1" ht="26" customHeight="1">
      <c r="A26" s="19" t="s">
        <v>48</v>
      </c>
      <c r="B26" s="20" t="s">
        <v>49</v>
      </c>
      <c r="C26" s="8" t="s">
        <v>133</v>
      </c>
      <c r="D26" s="6">
        <f>AVERAGE(5,3,5,5,3,4,3,3,4,4,4,3,3,3.5,3,2,3.5,4,3)</f>
        <v>3.5789473684210527</v>
      </c>
      <c r="E26" s="11">
        <v>19</v>
      </c>
      <c r="F26" s="6">
        <f>AVERAGE(4,4,4,4,3,3,3,4,4,4,4,4,3,4,3,3,3,4,2)</f>
        <v>3.5263157894736841</v>
      </c>
      <c r="G26" s="7">
        <v>19</v>
      </c>
      <c r="H26" s="6">
        <f>AVERAGE(5,5,5,4,4,4,4,4,4,5,5,5,5,5,5,5,3,4,5)</f>
        <v>4.5263157894736841</v>
      </c>
      <c r="I26" s="8">
        <v>19</v>
      </c>
      <c r="J26" s="9" t="s">
        <v>116</v>
      </c>
    </row>
    <row r="27" spans="1:10" s="7" customFormat="1" ht="26" customHeight="1">
      <c r="A27" s="19" t="s">
        <v>50</v>
      </c>
      <c r="B27" s="20" t="s">
        <v>51</v>
      </c>
      <c r="C27" s="8" t="s">
        <v>136</v>
      </c>
      <c r="D27" s="6">
        <f>AVERAGE(5,3,4,4,4,4,4,5,5,3,3,3,5,3,5)</f>
        <v>4</v>
      </c>
      <c r="E27" s="11">
        <v>15</v>
      </c>
      <c r="F27" s="6">
        <f>AVERAGE(4,5,4,4,4,4,4,4,5,5,4,4,5,4,4)</f>
        <v>4.2666666666666666</v>
      </c>
      <c r="G27" s="7">
        <v>15</v>
      </c>
      <c r="H27" s="6">
        <f>AVERAGE(5,5,4,5,5,5,5,5,5,5,5,4,4,4,5)</f>
        <v>4.7333333333333334</v>
      </c>
      <c r="I27" s="8">
        <v>15</v>
      </c>
      <c r="J27" s="9" t="s">
        <v>117</v>
      </c>
    </row>
    <row r="28" spans="1:10" s="7" customFormat="1" ht="26" customHeight="1">
      <c r="A28" s="19" t="s">
        <v>52</v>
      </c>
      <c r="B28" s="20" t="s">
        <v>53</v>
      </c>
      <c r="C28" s="8" t="s">
        <v>136</v>
      </c>
      <c r="D28" s="6">
        <f>AVERAGE(3,3,4,3,3,3,4,3,4,4,4,5)</f>
        <v>3.5833333333333335</v>
      </c>
      <c r="E28" s="11">
        <v>12</v>
      </c>
      <c r="F28" s="6">
        <f>AVERAGE(4,3,4,3,3,4,3,3,4,3,3,5)</f>
        <v>3.5</v>
      </c>
      <c r="G28" s="7">
        <v>12</v>
      </c>
      <c r="H28" s="6">
        <f>AVERAGE(3,4,3,3,4,4,3,3,4,3,4,5)</f>
        <v>3.5833333333333335</v>
      </c>
      <c r="I28" s="8">
        <v>12</v>
      </c>
      <c r="J28" s="9"/>
    </row>
    <row r="29" spans="1:10" s="7" customFormat="1" ht="26" customHeight="1">
      <c r="A29" s="19" t="s">
        <v>54</v>
      </c>
      <c r="B29" s="20" t="s">
        <v>55</v>
      </c>
      <c r="C29" s="8" t="s">
        <v>132</v>
      </c>
      <c r="D29" s="6">
        <f>AVERAGE(3,2,3,2,2,2,2,2,2,2,3,2,3)</f>
        <v>2.3076923076923075</v>
      </c>
      <c r="E29" s="11">
        <v>13</v>
      </c>
      <c r="F29" s="6">
        <f>AVERAGE(4,3,2,3,3,2,2,3,4,2,2,2,2)</f>
        <v>2.6153846153846154</v>
      </c>
      <c r="G29" s="7">
        <v>13</v>
      </c>
      <c r="H29" s="6">
        <f>AVERAGE(3,3,2,2,3,3,3,3,3,3,2,2,3)</f>
        <v>2.6923076923076925</v>
      </c>
      <c r="I29" s="8">
        <v>13</v>
      </c>
      <c r="J29" s="9" t="s">
        <v>118</v>
      </c>
    </row>
    <row r="30" spans="1:10" s="7" customFormat="1" ht="26" customHeight="1">
      <c r="A30" s="19" t="s">
        <v>56</v>
      </c>
      <c r="B30" s="20" t="s">
        <v>57</v>
      </c>
      <c r="C30" s="8" t="s">
        <v>134</v>
      </c>
      <c r="D30" s="10">
        <f>AVERAGE(4,3,3,3,4,4,3,4,4,4,4,4,4,5,3,4,4,3)</f>
        <v>3.7222222222222223</v>
      </c>
      <c r="E30" s="11">
        <v>18</v>
      </c>
      <c r="F30" s="10">
        <f>AVERAGE(4,4,4,3,3,4,3,4,3,3,4,4,4,5,4,4,5,2)</f>
        <v>3.7222222222222223</v>
      </c>
      <c r="G30" s="11">
        <v>18</v>
      </c>
      <c r="H30" s="10">
        <f>AVERAGE(5,4,4,4,5,4,4,4,4,5,5,4,4,5,4,4,5,2)</f>
        <v>4.2222222222222223</v>
      </c>
      <c r="I30" s="11">
        <v>18</v>
      </c>
      <c r="J30" s="12" t="s">
        <v>119</v>
      </c>
    </row>
    <row r="31" spans="1:10" s="7" customFormat="1" ht="26" customHeight="1">
      <c r="A31" s="19" t="s">
        <v>58</v>
      </c>
      <c r="B31" s="20" t="s">
        <v>59</v>
      </c>
      <c r="C31" s="8" t="s">
        <v>137</v>
      </c>
      <c r="D31" s="6">
        <f>AVERAGE(4,4,5,4,4,3,4,4,5,5,4,5,4,5,4,5)</f>
        <v>4.3125</v>
      </c>
      <c r="E31" s="11">
        <v>16</v>
      </c>
      <c r="F31" s="6">
        <f>AVERAGE(4,4,5,4,3,3,3,4,4,5,4,5,5,5,5,5)</f>
        <v>4.25</v>
      </c>
      <c r="G31" s="7">
        <v>16</v>
      </c>
      <c r="H31" s="6">
        <f>AVERAGE(5,4,3,4,4,3,4,4,4,5,5,5,5,5,4,4)</f>
        <v>4.25</v>
      </c>
      <c r="I31" s="8">
        <v>16</v>
      </c>
      <c r="J31" s="9" t="s">
        <v>120</v>
      </c>
    </row>
    <row r="32" spans="1:10" s="7" customFormat="1" ht="26" customHeight="1">
      <c r="A32" s="19" t="s">
        <v>60</v>
      </c>
      <c r="B32" s="20" t="s">
        <v>61</v>
      </c>
      <c r="C32" s="8" t="s">
        <v>135</v>
      </c>
      <c r="D32" s="10">
        <f>AVERAGE(3,4,2,1,1,1,3,3,1,1,1,1)</f>
        <v>1.8333333333333333</v>
      </c>
      <c r="E32" s="11">
        <v>12</v>
      </c>
      <c r="F32" s="10">
        <f>AVERAGE(4,4,2,2,1,1,2,3,2,1,2,2)</f>
        <v>2.1666666666666665</v>
      </c>
      <c r="G32" s="11">
        <v>12</v>
      </c>
      <c r="H32" s="10">
        <f>AVERAGE(4,3,4,4,4,4,5,5,4,5,4,4)</f>
        <v>4.166666666666667</v>
      </c>
      <c r="I32" s="11">
        <v>12</v>
      </c>
      <c r="J32" s="12" t="s">
        <v>121</v>
      </c>
    </row>
    <row r="33" spans="1:10" s="7" customFormat="1" ht="26" customHeight="1">
      <c r="A33" s="19" t="s">
        <v>62</v>
      </c>
      <c r="B33" s="20" t="s">
        <v>63</v>
      </c>
      <c r="C33" s="8" t="s">
        <v>136</v>
      </c>
      <c r="D33" s="6">
        <f>AVERAGE(1,2,3,1,2,2,2,1,2,1,2)</f>
        <v>1.7272727272727273</v>
      </c>
      <c r="E33" s="11">
        <v>11</v>
      </c>
      <c r="F33" s="6">
        <f>AVERAGE(3,3,3,2,3,3,3,1,4,3,3)</f>
        <v>2.8181818181818183</v>
      </c>
      <c r="G33" s="7">
        <v>12</v>
      </c>
      <c r="H33" s="6">
        <f>AVERAGE(3,3,3,2,3,3,3,2,3,4,4)</f>
        <v>3</v>
      </c>
      <c r="I33" s="8">
        <v>11</v>
      </c>
      <c r="J33" s="9"/>
    </row>
    <row r="34" spans="1:10" s="7" customFormat="1" ht="26" customHeight="1">
      <c r="A34" s="19" t="s">
        <v>64</v>
      </c>
      <c r="B34" s="20" t="s">
        <v>65</v>
      </c>
      <c r="C34" s="8" t="s">
        <v>135</v>
      </c>
      <c r="D34" s="10">
        <f>AVERAGE(5,4,4,3,3,3,4,4,4,3,3,4)</f>
        <v>3.6666666666666665</v>
      </c>
      <c r="E34" s="11">
        <v>12</v>
      </c>
      <c r="F34" s="10">
        <f>AVERAGE(4,4,3,3,3,3,4,2,3,3,3,4)</f>
        <v>3.25</v>
      </c>
      <c r="G34" s="11">
        <v>12</v>
      </c>
      <c r="H34" s="10">
        <f>AVERAGE(3,4,2,3,4,4,4,5,4,3,4,4)</f>
        <v>3.6666666666666665</v>
      </c>
      <c r="I34" s="11">
        <v>12</v>
      </c>
      <c r="J34" s="12" t="s">
        <v>122</v>
      </c>
    </row>
    <row r="35" spans="1:10" s="7" customFormat="1" ht="26" customHeight="1">
      <c r="A35" s="19" t="s">
        <v>66</v>
      </c>
      <c r="B35" s="20" t="s">
        <v>67</v>
      </c>
      <c r="C35" s="8" t="s">
        <v>134</v>
      </c>
      <c r="D35" s="10">
        <f>AVERAGE(5,4,4,5)</f>
        <v>4.5</v>
      </c>
      <c r="E35" s="11">
        <v>4</v>
      </c>
      <c r="F35" s="10">
        <f>AVERAGE(5,5,4,5)</f>
        <v>4.75</v>
      </c>
      <c r="G35" s="11">
        <v>4</v>
      </c>
      <c r="H35" s="10">
        <v>5</v>
      </c>
      <c r="I35" s="11">
        <v>4</v>
      </c>
      <c r="J35" s="12" t="s">
        <v>123</v>
      </c>
    </row>
    <row r="36" spans="1:10" s="7" customFormat="1" ht="26" customHeight="1">
      <c r="A36" s="19" t="s">
        <v>68</v>
      </c>
      <c r="B36" s="20" t="s">
        <v>69</v>
      </c>
      <c r="C36" s="8" t="s">
        <v>133</v>
      </c>
      <c r="D36" s="6">
        <f>AVERAGE(4,4,4,3,3,4,4,4,4,4,3,4)</f>
        <v>3.75</v>
      </c>
      <c r="E36" s="11">
        <v>12</v>
      </c>
      <c r="F36" s="6">
        <f>AVERAGE(3,3,2,3,3,3,3,4,4,4,3,4)</f>
        <v>3.25</v>
      </c>
      <c r="G36" s="7">
        <v>12</v>
      </c>
      <c r="H36" s="6">
        <f>AVERAGE(4,4,4,4,3,4,4,5,5,4,3,4)</f>
        <v>4</v>
      </c>
      <c r="I36" s="8">
        <v>12</v>
      </c>
      <c r="J36" s="9"/>
    </row>
    <row r="37" spans="1:10" s="7" customFormat="1" ht="26" customHeight="1">
      <c r="A37" s="21" t="s">
        <v>89</v>
      </c>
      <c r="B37" s="20" t="s">
        <v>90</v>
      </c>
      <c r="C37" s="8" t="s">
        <v>132</v>
      </c>
      <c r="D37" s="6">
        <f>AVERAGE(4,4,4,4,4,4,4,4,3,4)</f>
        <v>3.9</v>
      </c>
      <c r="E37" s="11">
        <v>10</v>
      </c>
      <c r="F37" s="6">
        <f>AVERAGE(4,3,4,4,4,4,4,4,3,3)</f>
        <v>3.7</v>
      </c>
      <c r="G37" s="7">
        <v>10</v>
      </c>
      <c r="H37" s="6">
        <f>AVERAGE(5,4,4,4,4,4,5,5,4,5)</f>
        <v>4.4000000000000004</v>
      </c>
      <c r="I37" s="8">
        <v>10</v>
      </c>
      <c r="J37" s="9"/>
    </row>
    <row r="38" spans="1:10" s="7" customFormat="1" ht="26" customHeight="1">
      <c r="A38" s="19" t="s">
        <v>70</v>
      </c>
      <c r="B38" s="20" t="s">
        <v>71</v>
      </c>
      <c r="C38" s="8" t="s">
        <v>136</v>
      </c>
      <c r="D38" s="6">
        <f>AVERAGE(3.5, 4,4,4,4,4)</f>
        <v>3.9166666666666665</v>
      </c>
      <c r="E38" s="11">
        <v>6</v>
      </c>
      <c r="F38" s="6">
        <f>AVERAGE(5,5,4,5,5,5)</f>
        <v>4.833333333333333</v>
      </c>
      <c r="G38" s="7">
        <v>6</v>
      </c>
      <c r="H38" s="6">
        <f>AVERAGE(4,4,4,4,4,4)</f>
        <v>4</v>
      </c>
      <c r="I38" s="8">
        <v>6</v>
      </c>
      <c r="J38" s="9" t="s">
        <v>125</v>
      </c>
    </row>
    <row r="39" spans="1:10" s="7" customFormat="1" ht="26" customHeight="1">
      <c r="A39" s="19" t="s">
        <v>72</v>
      </c>
      <c r="B39" s="20" t="s">
        <v>73</v>
      </c>
      <c r="C39" s="8" t="s">
        <v>135</v>
      </c>
      <c r="D39" s="6">
        <f>AVERAGE(3,3,2,2,3,2,3,3,2,2,2,2,)</f>
        <v>2.2307692307692308</v>
      </c>
      <c r="E39" s="11">
        <v>12</v>
      </c>
      <c r="F39" s="6">
        <f>AVERAGE(3,4,3,2,3,2,4,3,2,3,3,3)</f>
        <v>2.9166666666666665</v>
      </c>
      <c r="G39" s="7">
        <v>12</v>
      </c>
      <c r="H39" s="6">
        <f>AVERAGE(4,4,4,3,3,4,5,4,4,3,3,3)</f>
        <v>3.6666666666666665</v>
      </c>
      <c r="I39" s="8">
        <v>12</v>
      </c>
      <c r="J39" s="9" t="s">
        <v>124</v>
      </c>
    </row>
    <row r="40" spans="1:10" s="7" customFormat="1" ht="26" customHeight="1">
      <c r="A40" s="19" t="s">
        <v>74</v>
      </c>
      <c r="B40" s="20" t="s">
        <v>75</v>
      </c>
      <c r="C40" s="8" t="s">
        <v>133</v>
      </c>
      <c r="D40" s="10">
        <f>AVERAGE(4,3,3,4,3,3,4,4,3,3,3,3)</f>
        <v>3.3333333333333335</v>
      </c>
      <c r="E40" s="11">
        <v>12</v>
      </c>
      <c r="F40" s="10">
        <f>AVERAGE(4,4,3,4,3,3,3,4,4,4,3,4)</f>
        <v>3.5833333333333335</v>
      </c>
      <c r="G40" s="11">
        <v>12</v>
      </c>
      <c r="H40" s="10">
        <f>AVERAGE(4,4,2,3,4,4,3,4,4,4,5,5,)</f>
        <v>3.5384615384615383</v>
      </c>
      <c r="I40" s="11">
        <v>12</v>
      </c>
      <c r="J40" s="12" t="s">
        <v>126</v>
      </c>
    </row>
    <row r="41" spans="1:10" s="7" customFormat="1" ht="26" customHeight="1">
      <c r="A41" s="19" t="s">
        <v>76</v>
      </c>
      <c r="B41" s="20" t="s">
        <v>77</v>
      </c>
      <c r="C41" s="8" t="s">
        <v>136</v>
      </c>
      <c r="D41" s="6">
        <f>AVERAGE(3,4,5,4,5,4,5,4,5,5,5,5,5)</f>
        <v>4.5384615384615383</v>
      </c>
      <c r="E41" s="11">
        <v>13</v>
      </c>
      <c r="F41" s="6">
        <f>AVERAGE(3,4,3,5,3,4,4,4,5,5,5,5)</f>
        <v>4.166666666666667</v>
      </c>
      <c r="G41" s="7">
        <v>12</v>
      </c>
      <c r="H41" s="6">
        <f>AVERAGE(4,4,3,4,4,4,4,5,5,5,5,5)</f>
        <v>4.333333333333333</v>
      </c>
      <c r="I41" s="8">
        <v>12</v>
      </c>
      <c r="J41" s="9" t="s">
        <v>127</v>
      </c>
    </row>
    <row r="42" spans="1:10" s="7" customFormat="1" ht="26" customHeight="1">
      <c r="A42" s="19" t="s">
        <v>78</v>
      </c>
      <c r="B42" s="20" t="s">
        <v>79</v>
      </c>
      <c r="C42" s="8" t="s">
        <v>132</v>
      </c>
      <c r="D42" s="6">
        <f>AVERAGE(3,4,3,2,1,2,2,2,2,1,1)</f>
        <v>2.0909090909090908</v>
      </c>
      <c r="E42" s="11">
        <v>11</v>
      </c>
      <c r="F42" s="6">
        <f>AVERAGE(3,3,2,2,2,3,2,2,2,1)</f>
        <v>2.2000000000000002</v>
      </c>
      <c r="G42" s="7">
        <v>10</v>
      </c>
      <c r="H42" s="6">
        <f>AVERAGE(4,4,4,3,3,3,3,4,4,3)</f>
        <v>3.5</v>
      </c>
      <c r="I42" s="8">
        <v>10</v>
      </c>
      <c r="J42" s="9" t="s">
        <v>128</v>
      </c>
    </row>
    <row r="43" spans="1:10" s="7" customFormat="1" ht="26" customHeight="1">
      <c r="A43" s="19" t="s">
        <v>80</v>
      </c>
      <c r="B43" s="20" t="s">
        <v>81</v>
      </c>
      <c r="C43" s="8" t="s">
        <v>136</v>
      </c>
      <c r="D43" s="6">
        <f>AVERAGE(5,4,3,5,5,5,5,5,5,4,5,5,5,5,5,5)</f>
        <v>4.75</v>
      </c>
      <c r="E43" s="11">
        <v>16</v>
      </c>
      <c r="F43" s="6">
        <f>AVERAGE(4,4,4,5,5,5,5,5,5,4,5,5,5,5,4,5)</f>
        <v>4.6875</v>
      </c>
      <c r="G43" s="7">
        <v>16</v>
      </c>
      <c r="H43" s="6">
        <f>AVERAGE(4,4,5,5,5,5,5,5,4,5,4,4,5,5,5)</f>
        <v>4.666666666666667</v>
      </c>
      <c r="I43" s="8">
        <v>15</v>
      </c>
      <c r="J43" s="9" t="s">
        <v>129</v>
      </c>
    </row>
    <row r="44" spans="1:10" s="7" customFormat="1" ht="26" customHeight="1">
      <c r="A44" s="19" t="s">
        <v>82</v>
      </c>
      <c r="B44" s="20" t="s">
        <v>83</v>
      </c>
      <c r="C44" s="8" t="s">
        <v>137</v>
      </c>
      <c r="D44" s="6">
        <f>AVERAGE(4,3,3,4,2,2,2,3,3,4,3,4,5)</f>
        <v>3.2307692307692308</v>
      </c>
      <c r="E44" s="11">
        <v>13</v>
      </c>
      <c r="F44" s="6">
        <f>AVERAGE(3,4,3,4,2,2,2,3,3,4,3,4,5)</f>
        <v>3.2307692307692308</v>
      </c>
      <c r="G44" s="7">
        <v>13</v>
      </c>
      <c r="H44" s="6">
        <f>AVERAGE(3,4,3,4,4,4,3,3,3,5,5,4,5)</f>
        <v>3.8461538461538463</v>
      </c>
      <c r="I44" s="8">
        <v>13</v>
      </c>
      <c r="J44" s="9" t="s">
        <v>130</v>
      </c>
    </row>
    <row r="45" spans="1:10" s="7" customFormat="1" ht="26" customHeight="1">
      <c r="A45" s="19" t="s">
        <v>84</v>
      </c>
      <c r="B45" s="20" t="s">
        <v>85</v>
      </c>
      <c r="C45" s="8" t="s">
        <v>136</v>
      </c>
      <c r="D45" s="6">
        <f>AVERAGE(5,4,3,3,3,3,3,2,3,2,2,2,3)</f>
        <v>2.9230769230769229</v>
      </c>
      <c r="E45" s="11">
        <v>13</v>
      </c>
      <c r="F45" s="6">
        <f>AVERAGE(4,3,3,3,3,3,3,2,4,3,2,3,2)</f>
        <v>2.9230769230769229</v>
      </c>
      <c r="G45" s="7">
        <v>13</v>
      </c>
      <c r="H45" s="6">
        <f>AVERAGE(4,4,4,4,4,5,4,5,5,4,5,5,5)</f>
        <v>4.4615384615384617</v>
      </c>
      <c r="I45" s="8">
        <v>13</v>
      </c>
      <c r="J45" s="9"/>
    </row>
    <row r="46" spans="1:10" s="7" customFormat="1" ht="26" customHeight="1">
      <c r="A46" s="19" t="s">
        <v>86</v>
      </c>
      <c r="B46" s="20" t="s">
        <v>87</v>
      </c>
      <c r="C46" s="8" t="s">
        <v>135</v>
      </c>
      <c r="D46" s="10">
        <f>AVERAGE(4,4,4,4,3,3,4,2,4,4,3,4,4)</f>
        <v>3.6153846153846154</v>
      </c>
      <c r="E46" s="11">
        <v>13</v>
      </c>
      <c r="F46" s="10">
        <f>AVERAGE(3,4,3,4,3,3,4,4,4,5,5,5,4)</f>
        <v>3.9230769230769229</v>
      </c>
      <c r="G46" s="11">
        <v>13</v>
      </c>
      <c r="H46" s="10">
        <f>AVERAGE(5,4,4,4,4,4,4,4,4,5,4,5,4)</f>
        <v>4.2307692307692308</v>
      </c>
      <c r="I46" s="11">
        <v>13</v>
      </c>
      <c r="J46" s="12" t="s">
        <v>131</v>
      </c>
    </row>
  </sheetData>
  <sortState ref="A2:K142">
    <sortCondition ref="A2:A142"/>
  </sortState>
  <phoneticPr fontId="1" type="noConversion"/>
  <printOptions gridLines="1"/>
  <pageMargins left="0.53" right="0.67" top="1.08" bottom="0.5" header="0.54" footer="0.47"/>
  <pageSetup orientation="landscape" horizontalDpi="4294967292" verticalDpi="4294967292"/>
  <headerFooter>
    <oddHeader>&amp;C&amp;"-,Bold"&amp;16TOMATOES&amp;"-,Regular"&amp;12_x000D_C=CONTAINER, CH=CHERRY, H=HEIRLOOM, HY=HYBRID, OP=OPEN POLLINATED, P=PASTE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XFD46"/>
    </sheetView>
  </sheetViews>
  <sheetFormatPr baseColWidth="10" defaultRowHeight="13" x14ac:dyDescent="0"/>
  <cols>
    <col min="1" max="1" width="21.83203125" style="15" bestFit="1" customWidth="1"/>
    <col min="2" max="2" width="83" style="5" hidden="1" customWidth="1"/>
    <col min="3" max="3" width="5.33203125" style="18" bestFit="1" customWidth="1"/>
    <col min="4" max="4" width="8.1640625" style="6" customWidth="1"/>
    <col min="5" max="5" width="3.5" style="4" bestFit="1" customWidth="1"/>
    <col min="6" max="6" width="9.1640625" style="6" customWidth="1"/>
    <col min="7" max="7" width="3.5" style="7" bestFit="1" customWidth="1"/>
    <col min="8" max="8" width="11.83203125" style="6" bestFit="1" customWidth="1"/>
    <col min="9" max="9" width="3.5" style="8" bestFit="1" customWidth="1"/>
    <col min="10" max="10" width="48" style="9" customWidth="1"/>
    <col min="11" max="16384" width="10.83203125" style="4"/>
  </cols>
  <sheetData>
    <row r="1" spans="1:10" s="7" customFormat="1" ht="39">
      <c r="A1" s="19" t="s">
        <v>0</v>
      </c>
      <c r="B1" s="17" t="s">
        <v>1</v>
      </c>
      <c r="C1" s="16" t="s">
        <v>88</v>
      </c>
      <c r="D1" s="1" t="s">
        <v>92</v>
      </c>
      <c r="E1" s="2" t="s">
        <v>93</v>
      </c>
      <c r="F1" s="1" t="s">
        <v>94</v>
      </c>
      <c r="G1" s="2" t="s">
        <v>93</v>
      </c>
      <c r="H1" s="1" t="s">
        <v>95</v>
      </c>
      <c r="I1" s="2" t="s">
        <v>93</v>
      </c>
      <c r="J1" s="3" t="s">
        <v>138</v>
      </c>
    </row>
    <row r="2" spans="1:10" s="7" customFormat="1" ht="26" customHeight="1">
      <c r="A2" s="19" t="s">
        <v>80</v>
      </c>
      <c r="B2" s="20" t="s">
        <v>81</v>
      </c>
      <c r="C2" s="8" t="s">
        <v>136</v>
      </c>
      <c r="D2" s="6">
        <f>AVERAGE(5,4,3,5,5,5,5,5,5,4,5,5,5,5,5,5)</f>
        <v>4.75</v>
      </c>
      <c r="E2" s="11">
        <v>16</v>
      </c>
      <c r="F2" s="6">
        <f>AVERAGE(4,4,4,5,5,5,5,5,5,4,5,5,5,5,4,5)</f>
        <v>4.6875</v>
      </c>
      <c r="G2" s="7">
        <v>16</v>
      </c>
      <c r="H2" s="6">
        <f>AVERAGE(4,4,5,5,5,5,5,5,4,5,4,4,5,5,5)</f>
        <v>4.666666666666667</v>
      </c>
      <c r="I2" s="8">
        <v>15</v>
      </c>
      <c r="J2" s="9" t="s">
        <v>129</v>
      </c>
    </row>
    <row r="3" spans="1:10" s="7" customFormat="1" ht="26" customHeight="1">
      <c r="A3" s="19" t="s">
        <v>12</v>
      </c>
      <c r="B3" s="20" t="s">
        <v>13</v>
      </c>
      <c r="C3" s="8" t="s">
        <v>136</v>
      </c>
      <c r="D3" s="6">
        <f>AVERAGE(4,5,4,4,5,4,5,5,5,5,5,5,5,4,5,5,5)</f>
        <v>4.7058823529411766</v>
      </c>
      <c r="E3" s="11">
        <v>17</v>
      </c>
      <c r="F3" s="6">
        <f>AVERAGE(5,5,4,4,5,5,5,5,5,5,5,5,5,4,4,4,5)</f>
        <v>4.7058823529411766</v>
      </c>
      <c r="G3" s="11">
        <v>17</v>
      </c>
      <c r="H3" s="6">
        <f>AVERAGE(5,5,4,4,4,4,5,5,5,5,5,5,5,4,4,4,5)</f>
        <v>4.5882352941176467</v>
      </c>
      <c r="I3" s="11">
        <v>17</v>
      </c>
      <c r="J3" s="12" t="s">
        <v>100</v>
      </c>
    </row>
    <row r="4" spans="1:10" s="7" customFormat="1" ht="26" customHeight="1">
      <c r="A4" s="19" t="s">
        <v>76</v>
      </c>
      <c r="B4" s="20" t="s">
        <v>77</v>
      </c>
      <c r="C4" s="8" t="s">
        <v>136</v>
      </c>
      <c r="D4" s="6">
        <f>AVERAGE(3,4,5,4,5,4,5,4,5,5,5,5,5)</f>
        <v>4.5384615384615383</v>
      </c>
      <c r="E4" s="11">
        <v>13</v>
      </c>
      <c r="F4" s="6">
        <f>AVERAGE(3,4,3,5,3,4,4,4,5,5,5,5)</f>
        <v>4.166666666666667</v>
      </c>
      <c r="G4" s="7">
        <v>12</v>
      </c>
      <c r="H4" s="6">
        <f>AVERAGE(4,4,3,4,4,4,4,5,5,5,5,5)</f>
        <v>4.333333333333333</v>
      </c>
      <c r="I4" s="8">
        <v>12</v>
      </c>
      <c r="J4" s="9" t="s">
        <v>127</v>
      </c>
    </row>
    <row r="5" spans="1:10" s="7" customFormat="1" ht="26" customHeight="1">
      <c r="A5" s="19" t="s">
        <v>66</v>
      </c>
      <c r="B5" s="20" t="s">
        <v>67</v>
      </c>
      <c r="C5" s="8" t="s">
        <v>134</v>
      </c>
      <c r="D5" s="10">
        <f>AVERAGE(5,4,4,5)</f>
        <v>4.5</v>
      </c>
      <c r="E5" s="11">
        <v>4</v>
      </c>
      <c r="F5" s="10">
        <f>AVERAGE(5,5,4,5)</f>
        <v>4.75</v>
      </c>
      <c r="G5" s="11">
        <v>4</v>
      </c>
      <c r="H5" s="10">
        <v>5</v>
      </c>
      <c r="I5" s="11">
        <v>4</v>
      </c>
      <c r="J5" s="12" t="s">
        <v>123</v>
      </c>
    </row>
    <row r="6" spans="1:10" s="7" customFormat="1" ht="26" customHeight="1">
      <c r="A6" s="19" t="s">
        <v>58</v>
      </c>
      <c r="B6" s="20" t="s">
        <v>59</v>
      </c>
      <c r="C6" s="8" t="s">
        <v>137</v>
      </c>
      <c r="D6" s="6">
        <f>AVERAGE(4,4,5,4,4,3,4,4,5,5,4,5,4,5,4,5)</f>
        <v>4.3125</v>
      </c>
      <c r="E6" s="11">
        <v>16</v>
      </c>
      <c r="F6" s="6">
        <f>AVERAGE(4,4,5,4,3,3,3,4,4,5,4,5,5,5,5,5)</f>
        <v>4.25</v>
      </c>
      <c r="G6" s="7">
        <v>16</v>
      </c>
      <c r="H6" s="6">
        <f>AVERAGE(5,4,3,4,4,3,4,4,4,5,5,5,5,5,4,4)</f>
        <v>4.25</v>
      </c>
      <c r="I6" s="8">
        <v>16</v>
      </c>
      <c r="J6" s="9" t="s">
        <v>120</v>
      </c>
    </row>
    <row r="7" spans="1:10" s="7" customFormat="1" ht="26" customHeight="1">
      <c r="A7" s="19" t="s">
        <v>24</v>
      </c>
      <c r="B7" s="20" t="s">
        <v>25</v>
      </c>
      <c r="C7" s="8" t="s">
        <v>133</v>
      </c>
      <c r="D7" s="6">
        <f>AVERAGE(3,5,5,4,4,5,4,3,3,4,4,5,4)</f>
        <v>4.0769230769230766</v>
      </c>
      <c r="E7" s="11">
        <v>13</v>
      </c>
      <c r="F7" s="6">
        <f>AVERAGE(4,5,4,3,4,4,4,2,3,3,5,4)</f>
        <v>3.75</v>
      </c>
      <c r="G7" s="11">
        <v>12</v>
      </c>
      <c r="H7" s="6">
        <f>AVERAGE(5,5,5,4,4,4,5,4,4,5,5,4)</f>
        <v>4.5</v>
      </c>
      <c r="I7" s="11">
        <v>13</v>
      </c>
      <c r="J7" s="12" t="s">
        <v>104</v>
      </c>
    </row>
    <row r="8" spans="1:10" s="7" customFormat="1" ht="26" customHeight="1">
      <c r="A8" s="19" t="s">
        <v>18</v>
      </c>
      <c r="B8" s="20" t="s">
        <v>19</v>
      </c>
      <c r="C8" s="8" t="s">
        <v>134</v>
      </c>
      <c r="D8" s="10">
        <v>4</v>
      </c>
      <c r="E8" s="11">
        <v>2</v>
      </c>
      <c r="F8" s="10">
        <v>4.5</v>
      </c>
      <c r="G8" s="11">
        <v>2</v>
      </c>
      <c r="H8" s="10">
        <v>4.5</v>
      </c>
      <c r="I8" s="11">
        <v>2</v>
      </c>
      <c r="J8" s="12" t="s">
        <v>102</v>
      </c>
    </row>
    <row r="9" spans="1:10" s="7" customFormat="1" ht="26" customHeight="1">
      <c r="A9" s="19" t="s">
        <v>50</v>
      </c>
      <c r="B9" s="20" t="s">
        <v>51</v>
      </c>
      <c r="C9" s="8" t="s">
        <v>136</v>
      </c>
      <c r="D9" s="6">
        <f>AVERAGE(5,3,4,4,4,4,4,5,5,3,3,3,5,3,5)</f>
        <v>4</v>
      </c>
      <c r="E9" s="11">
        <v>15</v>
      </c>
      <c r="F9" s="6">
        <f>AVERAGE(4,5,4,4,4,4,4,4,5,5,4,4,5,4,4)</f>
        <v>4.2666666666666666</v>
      </c>
      <c r="G9" s="7">
        <v>15</v>
      </c>
      <c r="H9" s="6">
        <f>AVERAGE(5,5,4,5,5,5,5,5,5,5,5,4,4,4,5)</f>
        <v>4.7333333333333334</v>
      </c>
      <c r="I9" s="8">
        <v>15</v>
      </c>
      <c r="J9" s="9" t="s">
        <v>117</v>
      </c>
    </row>
    <row r="10" spans="1:10" s="7" customFormat="1" ht="26" customHeight="1">
      <c r="A10" s="19" t="s">
        <v>70</v>
      </c>
      <c r="B10" s="20" t="s">
        <v>71</v>
      </c>
      <c r="C10" s="8" t="s">
        <v>136</v>
      </c>
      <c r="D10" s="6">
        <f>AVERAGE(3.5, 4,4,4,4,4)</f>
        <v>3.9166666666666665</v>
      </c>
      <c r="E10" s="11">
        <v>6</v>
      </c>
      <c r="F10" s="6">
        <f>AVERAGE(5,5,4,5,5,5)</f>
        <v>4.833333333333333</v>
      </c>
      <c r="G10" s="7">
        <v>6</v>
      </c>
      <c r="H10" s="6">
        <f>AVERAGE(4,4,4,4,4,4)</f>
        <v>4</v>
      </c>
      <c r="I10" s="8">
        <v>6</v>
      </c>
      <c r="J10" s="9" t="s">
        <v>125</v>
      </c>
    </row>
    <row r="11" spans="1:10" s="7" customFormat="1" ht="26" customHeight="1">
      <c r="A11" s="21" t="s">
        <v>89</v>
      </c>
      <c r="B11" s="20" t="s">
        <v>90</v>
      </c>
      <c r="C11" s="8" t="s">
        <v>132</v>
      </c>
      <c r="D11" s="6">
        <f>AVERAGE(4,4,4,4,4,4,4,4,3,4)</f>
        <v>3.9</v>
      </c>
      <c r="E11" s="11">
        <v>10</v>
      </c>
      <c r="F11" s="6">
        <f>AVERAGE(4,3,4,4,4,4,4,4,3,3)</f>
        <v>3.7</v>
      </c>
      <c r="G11" s="7">
        <v>10</v>
      </c>
      <c r="H11" s="6">
        <f>AVERAGE(5,4,4,4,4,4,5,5,4,5)</f>
        <v>4.4000000000000004</v>
      </c>
      <c r="I11" s="8">
        <v>10</v>
      </c>
      <c r="J11" s="9"/>
    </row>
    <row r="12" spans="1:10" s="7" customFormat="1" ht="26" customHeight="1">
      <c r="A12" s="19" t="s">
        <v>68</v>
      </c>
      <c r="B12" s="20" t="s">
        <v>69</v>
      </c>
      <c r="C12" s="8" t="s">
        <v>133</v>
      </c>
      <c r="D12" s="6">
        <f>AVERAGE(4,4,4,3,3,4,4,4,4,4,3,4)</f>
        <v>3.75</v>
      </c>
      <c r="E12" s="11">
        <v>12</v>
      </c>
      <c r="F12" s="6">
        <f>AVERAGE(3,3,2,3,3,3,3,4,4,4,3,4)</f>
        <v>3.25</v>
      </c>
      <c r="G12" s="7">
        <v>12</v>
      </c>
      <c r="H12" s="6">
        <f>AVERAGE(4,4,4,4,3,4,4,5,5,4,3,4)</f>
        <v>4</v>
      </c>
      <c r="I12" s="8">
        <v>12</v>
      </c>
      <c r="J12" s="9"/>
    </row>
    <row r="13" spans="1:10" s="7" customFormat="1" ht="26" customHeight="1">
      <c r="A13" s="19" t="s">
        <v>20</v>
      </c>
      <c r="B13" s="20" t="s">
        <v>21</v>
      </c>
      <c r="C13" s="8" t="s">
        <v>134</v>
      </c>
      <c r="D13" s="10">
        <f>AVERAGE(4,3,5,4,4,3,3,4,4,4,4,4,3,3,4)</f>
        <v>3.7333333333333334</v>
      </c>
      <c r="E13" s="11">
        <v>15</v>
      </c>
      <c r="F13" s="10">
        <f>AVERAGE(4,4,4,4,4,4,4,4,4,4,4,4,3,4,4)</f>
        <v>3.9333333333333331</v>
      </c>
      <c r="G13" s="11">
        <v>15</v>
      </c>
      <c r="H13" s="10">
        <f>AVERAGE(5,5,4,4,4,4,4,4,4,3,3,5,3,4,4)</f>
        <v>4</v>
      </c>
      <c r="I13" s="11">
        <v>15</v>
      </c>
      <c r="J13" s="12" t="s">
        <v>103</v>
      </c>
    </row>
    <row r="14" spans="1:10" s="13" customFormat="1" ht="26" customHeight="1">
      <c r="A14" s="19" t="s">
        <v>56</v>
      </c>
      <c r="B14" s="20" t="s">
        <v>57</v>
      </c>
      <c r="C14" s="8" t="s">
        <v>134</v>
      </c>
      <c r="D14" s="10">
        <f>AVERAGE(4,3,3,3,4,4,3,4,4,4,4,4,4,5,3,4,4,3)</f>
        <v>3.7222222222222223</v>
      </c>
      <c r="E14" s="11">
        <v>18</v>
      </c>
      <c r="F14" s="10">
        <f>AVERAGE(4,4,4,3,3,4,3,4,3,3,4,4,4,5,4,4,5,2)</f>
        <v>3.7222222222222223</v>
      </c>
      <c r="G14" s="11">
        <v>18</v>
      </c>
      <c r="H14" s="10">
        <f>AVERAGE(5,4,4,4,5,4,4,4,4,5,5,4,4,5,4,4,5,2)</f>
        <v>4.2222222222222223</v>
      </c>
      <c r="I14" s="11">
        <v>18</v>
      </c>
      <c r="J14" s="12" t="s">
        <v>119</v>
      </c>
    </row>
    <row r="15" spans="1:10" s="7" customFormat="1" ht="26" customHeight="1">
      <c r="A15" s="19" t="s">
        <v>8</v>
      </c>
      <c r="B15" s="20" t="s">
        <v>9</v>
      </c>
      <c r="C15" s="8" t="s">
        <v>135</v>
      </c>
      <c r="D15" s="10">
        <f>AVERAGE(3,3,3,2,4,4,4,5,3,5,4,4,5,3,3,4)</f>
        <v>3.6875</v>
      </c>
      <c r="E15" s="11">
        <v>16</v>
      </c>
      <c r="F15" s="10">
        <f>AVERAGE(4,4,4,3,3,4,4,5,3,5,5,5,4,4,4,4)</f>
        <v>4.0625</v>
      </c>
      <c r="G15" s="11">
        <v>16</v>
      </c>
      <c r="H15" s="10">
        <f>AVERAGE(5,5,5,4,4,4,5,5,5,5,5,5,5,4,5,3)</f>
        <v>4.625</v>
      </c>
      <c r="I15" s="11">
        <v>16</v>
      </c>
      <c r="J15" s="12" t="s">
        <v>98</v>
      </c>
    </row>
    <row r="16" spans="1:10" s="7" customFormat="1" ht="26" customHeight="1">
      <c r="A16" s="19" t="s">
        <v>64</v>
      </c>
      <c r="B16" s="20" t="s">
        <v>65</v>
      </c>
      <c r="C16" s="8" t="s">
        <v>135</v>
      </c>
      <c r="D16" s="10">
        <f>AVERAGE(5,4,4,3,3,3,4,4,4,3,3,4)</f>
        <v>3.6666666666666665</v>
      </c>
      <c r="E16" s="11">
        <v>12</v>
      </c>
      <c r="F16" s="10">
        <f>AVERAGE(4,4,3,3,3,3,4,2,3,3,3,4)</f>
        <v>3.25</v>
      </c>
      <c r="G16" s="11">
        <v>12</v>
      </c>
      <c r="H16" s="10">
        <f>AVERAGE(3,4,2,3,4,4,4,5,4,3,4,4)</f>
        <v>3.6666666666666665</v>
      </c>
      <c r="I16" s="11">
        <v>12</v>
      </c>
      <c r="J16" s="12" t="s">
        <v>122</v>
      </c>
    </row>
    <row r="17" spans="1:10" s="7" customFormat="1" ht="26" customHeight="1">
      <c r="A17" s="19" t="s">
        <v>32</v>
      </c>
      <c r="B17" s="20" t="s">
        <v>33</v>
      </c>
      <c r="C17" s="8" t="s">
        <v>133</v>
      </c>
      <c r="D17" s="6">
        <f>AVERAGE(4,3,5,4,3,5,4,5,3,2,2,3,2,3,5,4,4,5)</f>
        <v>3.6666666666666665</v>
      </c>
      <c r="E17" s="11">
        <v>18</v>
      </c>
      <c r="F17" s="6">
        <f>AVERAGE(3,3,4,4,3,4,4,4,1,4,4,4,4,4,4,4,5)</f>
        <v>3.7058823529411766</v>
      </c>
      <c r="G17" s="11">
        <v>17</v>
      </c>
      <c r="H17" s="6">
        <f>AVERAGE(5,5,5,4,5,4,5,5,4,5,5,4,4,5,5,4,5)</f>
        <v>4.6470588235294121</v>
      </c>
      <c r="I17" s="11">
        <v>17</v>
      </c>
      <c r="J17" s="9" t="s">
        <v>109</v>
      </c>
    </row>
    <row r="18" spans="1:10" s="7" customFormat="1" ht="26" customHeight="1">
      <c r="A18" s="19" t="s">
        <v>86</v>
      </c>
      <c r="B18" s="20" t="s">
        <v>87</v>
      </c>
      <c r="C18" s="8" t="s">
        <v>135</v>
      </c>
      <c r="D18" s="10">
        <f>AVERAGE(4,4,4,4,3,3,4,2,4,4,3,4,4)</f>
        <v>3.6153846153846154</v>
      </c>
      <c r="E18" s="11">
        <v>13</v>
      </c>
      <c r="F18" s="10">
        <f>AVERAGE(3,4,3,4,3,3,4,4,4,5,5,5,4)</f>
        <v>3.9230769230769229</v>
      </c>
      <c r="G18" s="11">
        <v>13</v>
      </c>
      <c r="H18" s="10">
        <f>AVERAGE(5,4,4,4,4,4,4,4,4,5,4,5,4)</f>
        <v>4.2307692307692308</v>
      </c>
      <c r="I18" s="11">
        <v>13</v>
      </c>
      <c r="J18" s="12" t="s">
        <v>131</v>
      </c>
    </row>
    <row r="19" spans="1:10" s="7" customFormat="1" ht="26" customHeight="1">
      <c r="A19" s="19" t="s">
        <v>52</v>
      </c>
      <c r="B19" s="20" t="s">
        <v>53</v>
      </c>
      <c r="C19" s="8" t="s">
        <v>136</v>
      </c>
      <c r="D19" s="6">
        <f>AVERAGE(3,3,4,3,3,3,4,3,4,4,4,5)</f>
        <v>3.5833333333333335</v>
      </c>
      <c r="E19" s="11">
        <v>12</v>
      </c>
      <c r="F19" s="6">
        <f>AVERAGE(4,3,4,3,3,4,3,3,4,3,3,5)</f>
        <v>3.5</v>
      </c>
      <c r="G19" s="7">
        <v>12</v>
      </c>
      <c r="H19" s="6">
        <f>AVERAGE(3,4,3,3,4,4,3,3,4,3,4,5)</f>
        <v>3.5833333333333335</v>
      </c>
      <c r="I19" s="8">
        <v>12</v>
      </c>
      <c r="J19" s="9"/>
    </row>
    <row r="20" spans="1:10" s="7" customFormat="1" ht="26" customHeight="1">
      <c r="A20" s="19" t="s">
        <v>48</v>
      </c>
      <c r="B20" s="20" t="s">
        <v>49</v>
      </c>
      <c r="C20" s="8" t="s">
        <v>133</v>
      </c>
      <c r="D20" s="6">
        <f>AVERAGE(5,3,5,5,3,4,3,3,4,4,4,3,3,3.5,3,2,3.5,4,3)</f>
        <v>3.5789473684210527</v>
      </c>
      <c r="E20" s="11">
        <v>19</v>
      </c>
      <c r="F20" s="6">
        <f>AVERAGE(4,4,4,4,3,3,3,4,4,4,4,4,3,4,3,3,3,4,2)</f>
        <v>3.5263157894736841</v>
      </c>
      <c r="G20" s="7">
        <v>19</v>
      </c>
      <c r="H20" s="6">
        <f>AVERAGE(5,5,5,4,4,4,4,4,4,5,5,5,5,5,5,5,3,4,5)</f>
        <v>4.5263157894736841</v>
      </c>
      <c r="I20" s="8">
        <v>19</v>
      </c>
      <c r="J20" s="9" t="s">
        <v>116</v>
      </c>
    </row>
    <row r="21" spans="1:10" s="7" customFormat="1" ht="26" customHeight="1">
      <c r="A21" s="19" t="s">
        <v>6</v>
      </c>
      <c r="B21" s="20" t="s">
        <v>7</v>
      </c>
      <c r="C21" s="8" t="s">
        <v>134</v>
      </c>
      <c r="D21" s="10">
        <f>AVERAGE(3,3,3,4,4,4,4,3,3,3,3,3,5,5)</f>
        <v>3.5714285714285716</v>
      </c>
      <c r="E21" s="11">
        <v>14</v>
      </c>
      <c r="F21" s="10">
        <f>AVERAGE(3,4,3,4,4,4,4,3,4,3,3,3,4,4)</f>
        <v>3.5714285714285716</v>
      </c>
      <c r="G21" s="11">
        <v>14</v>
      </c>
      <c r="H21" s="10">
        <f>AVERAGE(5,4,3,4,4,3,4,4,4,5,4,3,5,5)</f>
        <v>4.0714285714285712</v>
      </c>
      <c r="I21" s="11">
        <v>14</v>
      </c>
      <c r="J21" s="12"/>
    </row>
    <row r="22" spans="1:10" s="7" customFormat="1" ht="26" customHeight="1">
      <c r="A22" s="19" t="s">
        <v>14</v>
      </c>
      <c r="B22" s="20" t="s">
        <v>15</v>
      </c>
      <c r="C22" s="8" t="s">
        <v>133</v>
      </c>
      <c r="D22" s="6">
        <f>AVERAGE(3,2,4,4,3,4,4,4,5,3,5,3,2)</f>
        <v>3.5384615384615383</v>
      </c>
      <c r="E22" s="11">
        <v>13</v>
      </c>
      <c r="F22" s="6">
        <f>AVERAGE(4,3,3,3,3,3,4,3,4,4,5,3)</f>
        <v>3.5</v>
      </c>
      <c r="G22" s="11">
        <v>12</v>
      </c>
      <c r="H22" s="6">
        <f>AVERAGE(5,4,5,4,4,5,5,4,4,5,4,5,4)</f>
        <v>4.4615384615384617</v>
      </c>
      <c r="I22" s="11">
        <v>13</v>
      </c>
      <c r="J22" s="9"/>
    </row>
    <row r="23" spans="1:10" s="7" customFormat="1" ht="26" customHeight="1">
      <c r="A23" s="19" t="s">
        <v>22</v>
      </c>
      <c r="B23" s="20" t="s">
        <v>23</v>
      </c>
      <c r="C23" s="8" t="s">
        <v>134</v>
      </c>
      <c r="D23" s="10">
        <f>AVERAGE(3,4,3,4,4,3,3,4,3,4,4,3,3)</f>
        <v>3.4615384615384617</v>
      </c>
      <c r="E23" s="11">
        <v>13</v>
      </c>
      <c r="F23" s="10">
        <f>AVERAGE(4,3,3,3,3,3,4,4,5,4,3,4)</f>
        <v>3.5833333333333335</v>
      </c>
      <c r="G23" s="11">
        <v>12</v>
      </c>
      <c r="H23" s="10">
        <f>AVERAGE(4,4,3,4,4,4,4,4,4,4,5,3,5)</f>
        <v>4</v>
      </c>
      <c r="I23" s="11">
        <v>13</v>
      </c>
      <c r="J23" s="12"/>
    </row>
    <row r="24" spans="1:10" s="7" customFormat="1" ht="26" customHeight="1">
      <c r="A24" s="19" t="s">
        <v>28</v>
      </c>
      <c r="B24" s="20" t="s">
        <v>29</v>
      </c>
      <c r="C24" s="8" t="s">
        <v>133</v>
      </c>
      <c r="D24" s="6">
        <f>AVERAGE(4,3,3,3,3,3,3,3,4,3,4,4,3,4)</f>
        <v>3.3571428571428572</v>
      </c>
      <c r="E24" s="11">
        <v>14</v>
      </c>
      <c r="F24" s="6">
        <f>AVERAGE(4,3,3,3,3,3,4,3,3,3,4,3,4,4)</f>
        <v>3.3571428571428572</v>
      </c>
      <c r="G24" s="11">
        <v>13</v>
      </c>
      <c r="H24" s="6">
        <f>AVERAGE(4,3,4,4,5,4,4,4,5,5,5,5,5)</f>
        <v>4.384615384615385</v>
      </c>
      <c r="I24" s="11">
        <v>13</v>
      </c>
      <c r="J24" s="9" t="s">
        <v>105</v>
      </c>
    </row>
    <row r="25" spans="1:10" s="7" customFormat="1" ht="26" customHeight="1">
      <c r="A25" s="19" t="s">
        <v>74</v>
      </c>
      <c r="B25" s="20" t="s">
        <v>75</v>
      </c>
      <c r="C25" s="8" t="s">
        <v>133</v>
      </c>
      <c r="D25" s="10">
        <f>AVERAGE(4,3,3,4,3,3,4,4,3,3,3,3)</f>
        <v>3.3333333333333335</v>
      </c>
      <c r="E25" s="11">
        <v>12</v>
      </c>
      <c r="F25" s="10">
        <f>AVERAGE(4,4,3,4,3,3,3,4,4,4,3,4)</f>
        <v>3.5833333333333335</v>
      </c>
      <c r="G25" s="11">
        <v>12</v>
      </c>
      <c r="H25" s="10">
        <f>AVERAGE(4,4,2,3,4,4,3,4,4,4,5,5,)</f>
        <v>3.5384615384615383</v>
      </c>
      <c r="I25" s="11">
        <v>12</v>
      </c>
      <c r="J25" s="12" t="s">
        <v>126</v>
      </c>
    </row>
    <row r="26" spans="1:10" s="7" customFormat="1" ht="26" customHeight="1">
      <c r="A26" s="19" t="s">
        <v>91</v>
      </c>
      <c r="B26" s="20" t="s">
        <v>107</v>
      </c>
      <c r="C26" s="8" t="s">
        <v>133</v>
      </c>
      <c r="D26" s="6">
        <f>AVERAGE(3,3,3,4,3,3,4.5,3,3,3,4,3,3)</f>
        <v>3.2692307692307692</v>
      </c>
      <c r="E26" s="11">
        <v>13</v>
      </c>
      <c r="F26" s="6">
        <f>AVERAGE(4,4,4,5,4,4,5,2,3,3,4,4,4)</f>
        <v>3.8461538461538463</v>
      </c>
      <c r="G26" s="11">
        <v>13</v>
      </c>
      <c r="H26" s="6">
        <f>AVERAGE(4,4,4,4,4,4,4,4,4,4,4,5,4)</f>
        <v>4.0769230769230766</v>
      </c>
      <c r="I26" s="11">
        <v>13</v>
      </c>
      <c r="J26" s="9" t="s">
        <v>108</v>
      </c>
    </row>
    <row r="27" spans="1:10" s="7" customFormat="1" ht="26" customHeight="1">
      <c r="A27" s="19" t="s">
        <v>38</v>
      </c>
      <c r="B27" s="20" t="s">
        <v>39</v>
      </c>
      <c r="C27" s="8" t="s">
        <v>135</v>
      </c>
      <c r="D27" s="10">
        <f>AVERAGE(4,4,3,3,3,3,3,4,2,3,3,3,2,3,2,5,5)</f>
        <v>3.2352941176470589</v>
      </c>
      <c r="E27" s="11">
        <v>17</v>
      </c>
      <c r="F27" s="10">
        <f>AVERAGE(3,3,3,3,4,4,4,4,3,3,3,4,4,3,3,5,4)</f>
        <v>3.5294117647058822</v>
      </c>
      <c r="G27" s="11">
        <v>17</v>
      </c>
      <c r="H27" s="10">
        <f>AVERAGE(5,5,5,4,4,4,4,4,4,5,4,4,4,4,4,5,4)</f>
        <v>4.2941176470588234</v>
      </c>
      <c r="I27" s="11">
        <v>17</v>
      </c>
      <c r="J27" s="12" t="s">
        <v>112</v>
      </c>
    </row>
    <row r="28" spans="1:10" s="7" customFormat="1" ht="26" customHeight="1">
      <c r="A28" s="19" t="s">
        <v>82</v>
      </c>
      <c r="B28" s="20" t="s">
        <v>83</v>
      </c>
      <c r="C28" s="8" t="s">
        <v>137</v>
      </c>
      <c r="D28" s="6">
        <f>AVERAGE(4,3,3,4,2,2,2,3,3,4,3,4,5)</f>
        <v>3.2307692307692308</v>
      </c>
      <c r="E28" s="11">
        <v>13</v>
      </c>
      <c r="F28" s="6">
        <f>AVERAGE(3,4,3,4,2,2,2,3,3,4,3,4,5)</f>
        <v>3.2307692307692308</v>
      </c>
      <c r="G28" s="7">
        <v>13</v>
      </c>
      <c r="H28" s="6">
        <f>AVERAGE(3,4,3,4,4,4,3,3,3,5,5,4,5)</f>
        <v>3.8461538461538463</v>
      </c>
      <c r="I28" s="8">
        <v>13</v>
      </c>
      <c r="J28" s="9" t="s">
        <v>130</v>
      </c>
    </row>
    <row r="29" spans="1:10" s="7" customFormat="1" ht="26" customHeight="1">
      <c r="A29" s="19" t="s">
        <v>42</v>
      </c>
      <c r="B29" s="20" t="s">
        <v>43</v>
      </c>
      <c r="C29" s="8" t="s">
        <v>135</v>
      </c>
      <c r="D29" s="10">
        <f>AVERAGE(3,3,3,3,4,4,4,3,2,3,3,3,3,4)</f>
        <v>3.2142857142857144</v>
      </c>
      <c r="E29" s="11">
        <v>14</v>
      </c>
      <c r="F29" s="10">
        <f>AVERAGE(2,2,3,3,4,4,3,3,2,3,2,3,3,3)</f>
        <v>2.8571428571428572</v>
      </c>
      <c r="G29" s="11">
        <v>14</v>
      </c>
      <c r="H29" s="10">
        <f>AVERAGE(5,4,4,4,4,5,4,4,5,5,5,5,4,5)</f>
        <v>4.5</v>
      </c>
      <c r="I29" s="11">
        <v>14</v>
      </c>
      <c r="J29" s="12" t="s">
        <v>113</v>
      </c>
    </row>
    <row r="30" spans="1:10" s="7" customFormat="1" ht="26" customHeight="1">
      <c r="A30" s="19" t="s">
        <v>40</v>
      </c>
      <c r="B30" s="20" t="s">
        <v>41</v>
      </c>
      <c r="C30" s="8" t="s">
        <v>133</v>
      </c>
      <c r="D30" s="10">
        <f>AVERAGE(2,2,3,2,4,2,4,4,4,3,4,2,4)</f>
        <v>3.0769230769230771</v>
      </c>
      <c r="E30" s="11">
        <v>13</v>
      </c>
      <c r="F30" s="6">
        <f>AVERAGE(4,3,3,3,3,2,4,4,4,3,4,3,3)</f>
        <v>3.3076923076923075</v>
      </c>
      <c r="G30" s="11">
        <v>13</v>
      </c>
      <c r="H30" s="6">
        <f>AVERAGE(3,2,4,3,4,4,4,5,5,5,5,4,4)</f>
        <v>4</v>
      </c>
      <c r="I30" s="11">
        <v>13</v>
      </c>
      <c r="J30" s="9"/>
    </row>
    <row r="31" spans="1:10" s="7" customFormat="1" ht="26" customHeight="1">
      <c r="A31" s="19" t="s">
        <v>44</v>
      </c>
      <c r="B31" s="20" t="s">
        <v>45</v>
      </c>
      <c r="C31" s="8" t="s">
        <v>135</v>
      </c>
      <c r="D31" s="10">
        <f>AVERAGE(4,3,3,4,3,3,3,3,3,2,2,2,4,4)</f>
        <v>3.0714285714285716</v>
      </c>
      <c r="E31" s="11">
        <v>14</v>
      </c>
      <c r="F31" s="10">
        <f>AVERAGE(3,3,3,3,2,3,3,3,3,3,2,2,3,4)</f>
        <v>2.8571428571428572</v>
      </c>
      <c r="G31" s="11">
        <v>14</v>
      </c>
      <c r="H31" s="10">
        <f>AVERAGE(5,4,4,4,5,5,5,4,4,4,4,4,5)</f>
        <v>4.384615384615385</v>
      </c>
      <c r="I31" s="11">
        <v>13</v>
      </c>
      <c r="J31" s="12" t="s">
        <v>114</v>
      </c>
    </row>
    <row r="32" spans="1:10" s="7" customFormat="1" ht="26" customHeight="1">
      <c r="A32" s="3" t="s">
        <v>26</v>
      </c>
      <c r="B32" s="9" t="s">
        <v>27</v>
      </c>
      <c r="C32" s="8" t="s">
        <v>135</v>
      </c>
      <c r="D32" s="10">
        <f>AVERAGE(3.5,3,3,3,3,4,3,2,3,3,2,4,3)</f>
        <v>3.0384615384615383</v>
      </c>
      <c r="E32" s="11">
        <v>13</v>
      </c>
      <c r="F32" s="10">
        <f>AVERAGE(5,4,3,3,3,4,3,2,3,3,3,3)</f>
        <v>3.25</v>
      </c>
      <c r="G32" s="11">
        <v>12</v>
      </c>
      <c r="H32" s="10">
        <f>AVERAGE(5,5,5,4,3,5,5,4,3,5,5,5)</f>
        <v>4.5</v>
      </c>
      <c r="I32" s="14">
        <v>12</v>
      </c>
      <c r="J32" s="12"/>
    </row>
    <row r="33" spans="1:10" s="7" customFormat="1" ht="26" customHeight="1">
      <c r="A33" s="19" t="s">
        <v>84</v>
      </c>
      <c r="B33" s="20" t="s">
        <v>85</v>
      </c>
      <c r="C33" s="8" t="s">
        <v>136</v>
      </c>
      <c r="D33" s="6">
        <f>AVERAGE(5,4,3,3,3,3,3,2,3,2,2,2,3)</f>
        <v>2.9230769230769229</v>
      </c>
      <c r="E33" s="11">
        <v>13</v>
      </c>
      <c r="F33" s="6">
        <f>AVERAGE(4,3,3,3,3,3,3,2,4,3,2,3,2)</f>
        <v>2.9230769230769229</v>
      </c>
      <c r="G33" s="7">
        <v>13</v>
      </c>
      <c r="H33" s="6">
        <f>AVERAGE(4,4,4,4,4,5,4,5,5,4,5,5,5)</f>
        <v>4.4615384615384617</v>
      </c>
      <c r="I33" s="8">
        <v>13</v>
      </c>
      <c r="J33" s="9"/>
    </row>
    <row r="34" spans="1:10" s="7" customFormat="1" ht="26" customHeight="1">
      <c r="A34" s="19" t="s">
        <v>30</v>
      </c>
      <c r="B34" s="20" t="s">
        <v>31</v>
      </c>
      <c r="C34" s="8" t="s">
        <v>132</v>
      </c>
      <c r="D34" s="6">
        <f>AVERAGE(3,3,3,3,4,3,2,2,2,3,3,2,4)</f>
        <v>2.8461538461538463</v>
      </c>
      <c r="E34" s="11">
        <v>13</v>
      </c>
      <c r="F34" s="6">
        <f>AVERAGE(3,3,4,4,3,2,2,3,3,4,2,4)</f>
        <v>3.0833333333333335</v>
      </c>
      <c r="G34" s="11">
        <v>12</v>
      </c>
      <c r="H34" s="6">
        <f>AVERAGE(4,4,4,3,4,2,3,4,4,3,4,4)</f>
        <v>3.5833333333333335</v>
      </c>
      <c r="I34" s="11">
        <v>12</v>
      </c>
      <c r="J34" s="9" t="s">
        <v>106</v>
      </c>
    </row>
    <row r="35" spans="1:10" s="7" customFormat="1" ht="26" customHeight="1">
      <c r="A35" s="19" t="s">
        <v>34</v>
      </c>
      <c r="B35" s="20" t="s">
        <v>35</v>
      </c>
      <c r="C35" s="8" t="s">
        <v>135</v>
      </c>
      <c r="D35" s="10">
        <f>AVERAGE(3,3,2,3,2,3,3,2,3,3,3,3,4)</f>
        <v>2.8461538461538463</v>
      </c>
      <c r="E35" s="11">
        <v>13</v>
      </c>
      <c r="F35" s="10">
        <f>AVERAGE(2,3,2,3,3,3,2,2,3,4,4,4,4)</f>
        <v>3</v>
      </c>
      <c r="G35" s="11">
        <v>13</v>
      </c>
      <c r="H35" s="10">
        <f>AVERAGE(4,4,4,5,5,4,4,5,5,5,5,4,5)</f>
        <v>4.5384615384615383</v>
      </c>
      <c r="I35" s="11">
        <v>13</v>
      </c>
      <c r="J35" s="12" t="s">
        <v>110</v>
      </c>
    </row>
    <row r="36" spans="1:10" s="7" customFormat="1" ht="26" customHeight="1">
      <c r="A36" s="19" t="s">
        <v>2</v>
      </c>
      <c r="B36" s="20" t="s">
        <v>3</v>
      </c>
      <c r="C36" s="8" t="s">
        <v>132</v>
      </c>
      <c r="D36" s="6">
        <f>AVERAGE(4,2,2,2,3,3,3,3,3,4,3,4,2,2,2,2,4,2)</f>
        <v>2.7777777777777777</v>
      </c>
      <c r="E36" s="7">
        <v>18</v>
      </c>
      <c r="F36" s="6">
        <f>AVERAGE(5,4,4,2,2,3,3,4,4,3,4,4,3,3,2,3,5,2)</f>
        <v>3.3333333333333335</v>
      </c>
      <c r="G36" s="7">
        <v>18</v>
      </c>
      <c r="H36" s="6">
        <f>AVERAGE(5,5,5,4,4,4,4,5,5,4,4,4,5,5,2,5,4)</f>
        <v>4.3529411764705879</v>
      </c>
      <c r="I36" s="8">
        <v>17</v>
      </c>
      <c r="J36" s="9" t="s">
        <v>96</v>
      </c>
    </row>
    <row r="37" spans="1:10" s="7" customFormat="1" ht="26" customHeight="1">
      <c r="A37" s="19" t="s">
        <v>10</v>
      </c>
      <c r="B37" s="20" t="s">
        <v>11</v>
      </c>
      <c r="C37" s="8" t="s">
        <v>135</v>
      </c>
      <c r="D37" s="10">
        <f>AVERAGE(5,3,2,2,4,2,2,2,3,3,2,3)</f>
        <v>2.75</v>
      </c>
      <c r="E37" s="11">
        <v>12</v>
      </c>
      <c r="F37" s="10">
        <f>AVERAGE(4,2,2,2,3,2,2,2,3,3,2,2,)</f>
        <v>2.2307692307692308</v>
      </c>
      <c r="G37" s="11">
        <v>12</v>
      </c>
      <c r="H37" s="10">
        <f>AVERAGE(5,5,4,4,4,3,4,4,5,5,5,5)</f>
        <v>4.416666666666667</v>
      </c>
      <c r="I37" s="11">
        <v>12</v>
      </c>
      <c r="J37" s="12" t="s">
        <v>99</v>
      </c>
    </row>
    <row r="38" spans="1:10" s="7" customFormat="1" ht="26" customHeight="1">
      <c r="A38" s="19" t="s">
        <v>4</v>
      </c>
      <c r="B38" s="20" t="s">
        <v>5</v>
      </c>
      <c r="C38" s="8" t="s">
        <v>133</v>
      </c>
      <c r="D38" s="6">
        <f>AVERAGE(3,4,3,3,3,3,2,3,2,2,2,2,2,3,4)</f>
        <v>2.7333333333333334</v>
      </c>
      <c r="E38" s="7">
        <v>15</v>
      </c>
      <c r="F38" s="6">
        <f>AVERAGE(4,4,3,3,3,3,3,4,2,3,3,2,2,4,4)</f>
        <v>3.1333333333333333</v>
      </c>
      <c r="G38" s="7">
        <v>15</v>
      </c>
      <c r="H38" s="6">
        <f>AVERAGE(5,5,4,3,4,4,4,4,4,4,4,4,3,5,5)</f>
        <v>4.1333333333333337</v>
      </c>
      <c r="I38" s="8">
        <v>15</v>
      </c>
      <c r="J38" s="9" t="s">
        <v>97</v>
      </c>
    </row>
    <row r="39" spans="1:10" s="7" customFormat="1" ht="26" customHeight="1">
      <c r="A39" s="19" t="s">
        <v>36</v>
      </c>
      <c r="B39" s="20" t="s">
        <v>37</v>
      </c>
      <c r="C39" s="8" t="s">
        <v>135</v>
      </c>
      <c r="D39" s="10">
        <f>AVERAGE(3,3,4,3,3,4,4,2,2,2,1,3,4,2,)</f>
        <v>2.6666666666666665</v>
      </c>
      <c r="E39" s="11">
        <v>14</v>
      </c>
      <c r="F39" s="10">
        <f>AVERAGE(4,3,4,3,3,3,3,2,2,2,3,3,3,3)</f>
        <v>2.9285714285714284</v>
      </c>
      <c r="G39" s="11">
        <v>14</v>
      </c>
      <c r="H39" s="10">
        <f>AVERAGE(5,5,4,3,4,4,4,4,4,4,5,5,5,4)</f>
        <v>4.2857142857142856</v>
      </c>
      <c r="I39" s="11">
        <v>14</v>
      </c>
      <c r="J39" s="12" t="s">
        <v>111</v>
      </c>
    </row>
    <row r="40" spans="1:10" s="7" customFormat="1" ht="26" customHeight="1">
      <c r="A40" s="19" t="s">
        <v>46</v>
      </c>
      <c r="B40" s="20" t="s">
        <v>47</v>
      </c>
      <c r="C40" s="8" t="s">
        <v>132</v>
      </c>
      <c r="D40" s="6">
        <f>AVERAGE(3,4,3,3,4,2,1,1,2,3,2)</f>
        <v>2.5454545454545454</v>
      </c>
      <c r="E40" s="11">
        <v>11</v>
      </c>
      <c r="F40" s="6">
        <f>AVERAGE(4,4,3,4,5,2,1,1,3,3,4)</f>
        <v>3.0909090909090908</v>
      </c>
      <c r="G40" s="7">
        <v>11</v>
      </c>
      <c r="H40" s="6">
        <f>AVERAGE(4,5,4,4,4,2,2,4,3,3)</f>
        <v>3.5</v>
      </c>
      <c r="I40" s="8">
        <v>10</v>
      </c>
      <c r="J40" s="9" t="s">
        <v>115</v>
      </c>
    </row>
    <row r="41" spans="1:10" s="7" customFormat="1" ht="26" customHeight="1">
      <c r="A41" s="19" t="s">
        <v>54</v>
      </c>
      <c r="B41" s="20" t="s">
        <v>55</v>
      </c>
      <c r="C41" s="8" t="s">
        <v>132</v>
      </c>
      <c r="D41" s="6">
        <f>AVERAGE(3,2,3,2,2,2,2,2,2,2,3,2,3)</f>
        <v>2.3076923076923075</v>
      </c>
      <c r="E41" s="11">
        <v>13</v>
      </c>
      <c r="F41" s="6">
        <f>AVERAGE(4,3,2,3,3,2,2,3,4,2,2,2,2)</f>
        <v>2.6153846153846154</v>
      </c>
      <c r="G41" s="7">
        <v>13</v>
      </c>
      <c r="H41" s="6">
        <f>AVERAGE(3,3,2,2,3,3,3,3,3,3,2,2,3)</f>
        <v>2.6923076923076925</v>
      </c>
      <c r="I41" s="8">
        <v>13</v>
      </c>
      <c r="J41" s="9" t="s">
        <v>118</v>
      </c>
    </row>
    <row r="42" spans="1:10" s="7" customFormat="1" ht="26" customHeight="1">
      <c r="A42" s="19" t="s">
        <v>72</v>
      </c>
      <c r="B42" s="20" t="s">
        <v>73</v>
      </c>
      <c r="C42" s="8" t="s">
        <v>135</v>
      </c>
      <c r="D42" s="6">
        <f>AVERAGE(3,3,2,2,3,2,3,3,2,2,2,2,)</f>
        <v>2.2307692307692308</v>
      </c>
      <c r="E42" s="11">
        <v>12</v>
      </c>
      <c r="F42" s="6">
        <f>AVERAGE(3,4,3,2,3,2,4,3,2,3,3,3)</f>
        <v>2.9166666666666665</v>
      </c>
      <c r="G42" s="7">
        <v>12</v>
      </c>
      <c r="H42" s="6">
        <f>AVERAGE(4,4,4,3,3,4,5,4,4,3,3,3)</f>
        <v>3.6666666666666665</v>
      </c>
      <c r="I42" s="8">
        <v>12</v>
      </c>
      <c r="J42" s="9" t="s">
        <v>124</v>
      </c>
    </row>
    <row r="43" spans="1:10" s="7" customFormat="1" ht="26" customHeight="1">
      <c r="A43" s="19" t="s">
        <v>16</v>
      </c>
      <c r="B43" s="20" t="s">
        <v>17</v>
      </c>
      <c r="C43" s="8" t="s">
        <v>135</v>
      </c>
      <c r="D43" s="10">
        <f>AVERAGE(3,2,2,3,2,2,2,1,2,2)</f>
        <v>2.1</v>
      </c>
      <c r="E43" s="11">
        <v>10</v>
      </c>
      <c r="F43" s="10">
        <f>AVERAGE(4,3,3,3,2,2,2,3,2,2)</f>
        <v>2.6</v>
      </c>
      <c r="G43" s="11">
        <v>10</v>
      </c>
      <c r="H43" s="10">
        <f>AVERAGE(5,4,4,3,3,3,4,4,5,5,4)</f>
        <v>4</v>
      </c>
      <c r="I43" s="11">
        <v>10</v>
      </c>
      <c r="J43" s="12" t="s">
        <v>101</v>
      </c>
    </row>
    <row r="44" spans="1:10" s="7" customFormat="1" ht="26" customHeight="1">
      <c r="A44" s="19" t="s">
        <v>78</v>
      </c>
      <c r="B44" s="20" t="s">
        <v>79</v>
      </c>
      <c r="C44" s="8" t="s">
        <v>132</v>
      </c>
      <c r="D44" s="6">
        <f>AVERAGE(3,4,3,2,1,2,2,2,2,1,1)</f>
        <v>2.0909090909090908</v>
      </c>
      <c r="E44" s="11">
        <v>11</v>
      </c>
      <c r="F44" s="6">
        <f>AVERAGE(3,3,2,2,2,3,2,2,2,1)</f>
        <v>2.2000000000000002</v>
      </c>
      <c r="G44" s="7">
        <v>10</v>
      </c>
      <c r="H44" s="6">
        <f>AVERAGE(4,4,4,3,3,3,3,4,4,3)</f>
        <v>3.5</v>
      </c>
      <c r="I44" s="8">
        <v>10</v>
      </c>
      <c r="J44" s="9" t="s">
        <v>128</v>
      </c>
    </row>
    <row r="45" spans="1:10" s="7" customFormat="1" ht="26" customHeight="1">
      <c r="A45" s="19" t="s">
        <v>60</v>
      </c>
      <c r="B45" s="20" t="s">
        <v>61</v>
      </c>
      <c r="C45" s="8" t="s">
        <v>135</v>
      </c>
      <c r="D45" s="10">
        <f>AVERAGE(3,4,2,1,1,1,3,3,1,1,1,1)</f>
        <v>1.8333333333333333</v>
      </c>
      <c r="E45" s="11">
        <v>12</v>
      </c>
      <c r="F45" s="10">
        <f>AVERAGE(4,4,2,2,1,1,2,3,2,1,2,2)</f>
        <v>2.1666666666666665</v>
      </c>
      <c r="G45" s="11">
        <v>12</v>
      </c>
      <c r="H45" s="10">
        <f>AVERAGE(4,3,4,4,4,4,5,5,4,5,4,4)</f>
        <v>4.166666666666667</v>
      </c>
      <c r="I45" s="11">
        <v>12</v>
      </c>
      <c r="J45" s="12" t="s">
        <v>121</v>
      </c>
    </row>
    <row r="46" spans="1:10" s="7" customFormat="1" ht="26" customHeight="1">
      <c r="A46" s="19" t="s">
        <v>62</v>
      </c>
      <c r="B46" s="20" t="s">
        <v>63</v>
      </c>
      <c r="C46" s="8" t="s">
        <v>136</v>
      </c>
      <c r="D46" s="6">
        <f>AVERAGE(1,2,3,1,2,2,2,1,2,1,2)</f>
        <v>1.7272727272727273</v>
      </c>
      <c r="E46" s="11">
        <v>11</v>
      </c>
      <c r="F46" s="6">
        <f>AVERAGE(3,3,3,2,3,3,3,1,4,3,3)</f>
        <v>2.8181818181818183</v>
      </c>
      <c r="G46" s="7">
        <v>12</v>
      </c>
      <c r="H46" s="6">
        <f>AVERAGE(3,3,3,2,3,3,3,2,3,4,4)</f>
        <v>3</v>
      </c>
      <c r="I46" s="8">
        <v>11</v>
      </c>
      <c r="J46" s="9"/>
    </row>
  </sheetData>
  <sortState ref="A2:J46">
    <sortCondition descending="1" ref="D2:D46"/>
  </sortState>
  <phoneticPr fontId="1" type="noConversion"/>
  <printOptions gridLines="1"/>
  <pageMargins left="0.53" right="0.67" top="1.08" bottom="0.5" header="0.54" footer="0.47"/>
  <pageSetup orientation="landscape" horizontalDpi="4294967292" verticalDpi="4294967292"/>
  <headerFooter>
    <oddHeader>&amp;C&amp;"-,Bold"&amp;16TOMATOES&amp;"-,Regular"&amp;12_x000D_C=CONTAINER, CH=CHERRY, H=HEIRLOOM, HY=HYBRID, OP=OPEN POLLINATED, P=PASTE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0" sqref="A2:XFD10"/>
    </sheetView>
  </sheetViews>
  <sheetFormatPr baseColWidth="10" defaultRowHeight="15" x14ac:dyDescent="0"/>
  <cols>
    <col min="1" max="1" width="20.1640625" bestFit="1" customWidth="1"/>
  </cols>
  <sheetData>
    <row r="1" spans="1:2">
      <c r="A1" t="s">
        <v>139</v>
      </c>
      <c r="B1" t="s">
        <v>140</v>
      </c>
    </row>
    <row r="2" spans="1:2">
      <c r="A2" t="s">
        <v>8</v>
      </c>
      <c r="B2">
        <v>1</v>
      </c>
    </row>
    <row r="3" spans="1:2">
      <c r="A3" t="s">
        <v>12</v>
      </c>
      <c r="B3">
        <v>2</v>
      </c>
    </row>
    <row r="4" spans="1:2">
      <c r="A4" t="s">
        <v>142</v>
      </c>
      <c r="B4">
        <v>2</v>
      </c>
    </row>
    <row r="5" spans="1:2">
      <c r="A5" t="s">
        <v>58</v>
      </c>
      <c r="B5">
        <v>3</v>
      </c>
    </row>
    <row r="6" spans="1:2">
      <c r="A6" t="s">
        <v>66</v>
      </c>
      <c r="B6">
        <v>2</v>
      </c>
    </row>
    <row r="7" spans="1:2">
      <c r="A7" t="s">
        <v>141</v>
      </c>
      <c r="B7">
        <v>1</v>
      </c>
    </row>
    <row r="8" spans="1:2">
      <c r="A8" t="s">
        <v>143</v>
      </c>
      <c r="B8">
        <v>2</v>
      </c>
    </row>
    <row r="9" spans="1:2">
      <c r="A9" t="s">
        <v>82</v>
      </c>
      <c r="B9">
        <v>1</v>
      </c>
    </row>
    <row r="10" spans="1:2">
      <c r="A10" t="s">
        <v>86</v>
      </c>
      <c r="B10">
        <v>2</v>
      </c>
    </row>
  </sheetData>
  <sortState ref="A2:B10">
    <sortCondition ref="A10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sorted by type</vt:lpstr>
      <vt:lpstr>alpha</vt:lpstr>
      <vt:lpstr>Sorted-taste</vt:lpstr>
      <vt:lpstr>favorites-big 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cp:lastPrinted>2016-03-03T23:01:32Z</cp:lastPrinted>
  <dcterms:created xsi:type="dcterms:W3CDTF">2016-03-01T14:09:56Z</dcterms:created>
  <dcterms:modified xsi:type="dcterms:W3CDTF">2016-06-12T23:55:59Z</dcterms:modified>
</cp:coreProperties>
</file>